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3F7C1451-CA4B-4708-B7BB-4FD60E89DE5B}" xr6:coauthVersionLast="47" xr6:coauthVersionMax="47" xr10:uidLastSave="{00000000-0000-0000-0000-000000000000}"/>
  <bookViews>
    <workbookView xWindow="-120" yWindow="-120" windowWidth="29040" windowHeight="15720" xr2:uid="{00000000-000D-0000-FFFF-FFFF00000000}"/>
  </bookViews>
  <sheets>
    <sheet name="Mode_emploi" sheetId="7" r:id="rId1"/>
    <sheet name="MOTEUR_C4" sheetId="1" r:id="rId2"/>
    <sheet name="Questions_150" sheetId="2" r:id="rId3"/>
    <sheet name="Grille_questions" sheetId="3" r:id="rId4"/>
    <sheet name="Dictionnaire_criteres" sheetId="4" r:id="rId5"/>
    <sheet name="ALLERGENES.1" sheetId="9" r:id="rId6"/>
    <sheet name="ChatGPT" sheetId="6" r:id="rId7"/>
    <sheet name="Transmission des savoirs.2025"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6" i="9" l="1"/>
  <c r="BS66" i="9" s="1"/>
  <c r="S66" i="9"/>
  <c r="R66" i="9"/>
  <c r="Q66" i="9"/>
  <c r="P66" i="9"/>
  <c r="O66" i="9"/>
  <c r="N66" i="9"/>
  <c r="M66" i="9"/>
  <c r="L66" i="9"/>
  <c r="K66" i="9"/>
  <c r="J66" i="9"/>
  <c r="I66" i="9"/>
  <c r="H66" i="9"/>
  <c r="G66" i="9"/>
  <c r="F66" i="9"/>
  <c r="E66" i="9"/>
  <c r="D66" i="9"/>
  <c r="C66" i="9"/>
  <c r="BB65" i="9"/>
  <c r="U65" i="9"/>
  <c r="CI65" i="9" s="1"/>
  <c r="S65" i="9"/>
  <c r="R65" i="9"/>
  <c r="Q65" i="9"/>
  <c r="P65" i="9"/>
  <c r="O65" i="9"/>
  <c r="N65" i="9"/>
  <c r="M65" i="9"/>
  <c r="L65" i="9"/>
  <c r="K65" i="9"/>
  <c r="J65" i="9"/>
  <c r="I65" i="9"/>
  <c r="H65" i="9"/>
  <c r="G65" i="9"/>
  <c r="F65" i="9"/>
  <c r="E65" i="9"/>
  <c r="D65" i="9"/>
  <c r="C65" i="9"/>
  <c r="U64" i="9"/>
  <c r="BG64" i="9" s="1"/>
  <c r="S64" i="9"/>
  <c r="R64" i="9"/>
  <c r="Q64" i="9"/>
  <c r="P64" i="9"/>
  <c r="O64" i="9"/>
  <c r="N64" i="9"/>
  <c r="M64" i="9"/>
  <c r="L64" i="9"/>
  <c r="K64" i="9"/>
  <c r="J64" i="9"/>
  <c r="I64" i="9"/>
  <c r="H64" i="9"/>
  <c r="G64" i="9"/>
  <c r="F64" i="9"/>
  <c r="E64" i="9"/>
  <c r="D64" i="9"/>
  <c r="C64" i="9"/>
  <c r="U63" i="9"/>
  <c r="BC63" i="9" s="1"/>
  <c r="S63" i="9"/>
  <c r="R63" i="9"/>
  <c r="Q63" i="9"/>
  <c r="P63" i="9"/>
  <c r="O63" i="9"/>
  <c r="N63" i="9"/>
  <c r="M63" i="9"/>
  <c r="L63" i="9"/>
  <c r="K63" i="9"/>
  <c r="J63" i="9"/>
  <c r="I63" i="9"/>
  <c r="H63" i="9"/>
  <c r="G63" i="9"/>
  <c r="F63" i="9"/>
  <c r="E63" i="9"/>
  <c r="D63" i="9"/>
  <c r="C63" i="9"/>
  <c r="U62" i="9"/>
  <c r="S62" i="9"/>
  <c r="R62" i="9"/>
  <c r="Q62" i="9"/>
  <c r="P62" i="9"/>
  <c r="O62" i="9"/>
  <c r="N62" i="9"/>
  <c r="M62" i="9"/>
  <c r="L62" i="9"/>
  <c r="K62" i="9"/>
  <c r="J62" i="9"/>
  <c r="I62" i="9"/>
  <c r="H62" i="9"/>
  <c r="G62" i="9"/>
  <c r="F62" i="9"/>
  <c r="E62" i="9"/>
  <c r="D62" i="9"/>
  <c r="C62" i="9"/>
  <c r="U61" i="9"/>
  <c r="AZ61" i="9" s="1"/>
  <c r="S61" i="9"/>
  <c r="R61" i="9"/>
  <c r="Q61" i="9"/>
  <c r="P61" i="9"/>
  <c r="O61" i="9"/>
  <c r="N61" i="9"/>
  <c r="M61" i="9"/>
  <c r="L61" i="9"/>
  <c r="K61" i="9"/>
  <c r="J61" i="9"/>
  <c r="I61" i="9"/>
  <c r="H61" i="9"/>
  <c r="G61" i="9"/>
  <c r="F61" i="9"/>
  <c r="E61" i="9"/>
  <c r="D61" i="9"/>
  <c r="C61" i="9"/>
  <c r="U60" i="9"/>
  <c r="BQ60" i="9" s="1"/>
  <c r="S60" i="9"/>
  <c r="R60" i="9"/>
  <c r="Q60" i="9"/>
  <c r="P60" i="9"/>
  <c r="O60" i="9"/>
  <c r="N60" i="9"/>
  <c r="M60" i="9"/>
  <c r="L60" i="9"/>
  <c r="K60" i="9"/>
  <c r="J60" i="9"/>
  <c r="I60" i="9"/>
  <c r="H60" i="9"/>
  <c r="G60" i="9"/>
  <c r="F60" i="9"/>
  <c r="E60" i="9"/>
  <c r="D60" i="9"/>
  <c r="C60" i="9"/>
  <c r="U59" i="9"/>
  <c r="CD59" i="9" s="1"/>
  <c r="S59" i="9"/>
  <c r="R59" i="9"/>
  <c r="Q59" i="9"/>
  <c r="P59" i="9"/>
  <c r="O59" i="9"/>
  <c r="N59" i="9"/>
  <c r="M59" i="9"/>
  <c r="L59" i="9"/>
  <c r="K59" i="9"/>
  <c r="J59" i="9"/>
  <c r="I59" i="9"/>
  <c r="H59" i="9"/>
  <c r="G59" i="9"/>
  <c r="F59" i="9"/>
  <c r="E59" i="9"/>
  <c r="D59" i="9"/>
  <c r="C59" i="9"/>
  <c r="U58" i="9"/>
  <c r="BO58" i="9" s="1"/>
  <c r="S58" i="9"/>
  <c r="R58" i="9"/>
  <c r="Q58" i="9"/>
  <c r="P58" i="9"/>
  <c r="O58" i="9"/>
  <c r="N58" i="9"/>
  <c r="M58" i="9"/>
  <c r="L58" i="9"/>
  <c r="K58" i="9"/>
  <c r="J58" i="9"/>
  <c r="I58" i="9"/>
  <c r="H58" i="9"/>
  <c r="G58" i="9"/>
  <c r="F58" i="9"/>
  <c r="E58" i="9"/>
  <c r="D58" i="9"/>
  <c r="C58" i="9"/>
  <c r="U57" i="9"/>
  <c r="S57" i="9"/>
  <c r="R57" i="9"/>
  <c r="Q57" i="9"/>
  <c r="P57" i="9"/>
  <c r="O57" i="9"/>
  <c r="N57" i="9"/>
  <c r="M57" i="9"/>
  <c r="L57" i="9"/>
  <c r="K57" i="9"/>
  <c r="J57" i="9"/>
  <c r="I57" i="9"/>
  <c r="H57" i="9"/>
  <c r="G57" i="9"/>
  <c r="F57" i="9"/>
  <c r="E57" i="9"/>
  <c r="D57" i="9"/>
  <c r="C57" i="9"/>
  <c r="U56" i="9"/>
  <c r="BX56" i="9" s="1"/>
  <c r="S56" i="9"/>
  <c r="R56" i="9"/>
  <c r="Q56" i="9"/>
  <c r="P56" i="9"/>
  <c r="O56" i="9"/>
  <c r="N56" i="9"/>
  <c r="M56" i="9"/>
  <c r="L56" i="9"/>
  <c r="K56" i="9"/>
  <c r="J56" i="9"/>
  <c r="I56" i="9"/>
  <c r="H56" i="9"/>
  <c r="G56" i="9"/>
  <c r="F56" i="9"/>
  <c r="E56" i="9"/>
  <c r="D56" i="9"/>
  <c r="C56" i="9"/>
  <c r="U55" i="9"/>
  <c r="AK55" i="9" s="1"/>
  <c r="S55" i="9"/>
  <c r="R55" i="9"/>
  <c r="Q55" i="9"/>
  <c r="P55" i="9"/>
  <c r="O55" i="9"/>
  <c r="N55" i="9"/>
  <c r="M55" i="9"/>
  <c r="L55" i="9"/>
  <c r="K55" i="9"/>
  <c r="J55" i="9"/>
  <c r="I55" i="9"/>
  <c r="H55" i="9"/>
  <c r="G55" i="9"/>
  <c r="F55" i="9"/>
  <c r="E55" i="9"/>
  <c r="D55" i="9"/>
  <c r="C55" i="9"/>
  <c r="U54" i="9"/>
  <c r="CC54" i="9" s="1"/>
  <c r="S54" i="9"/>
  <c r="R54" i="9"/>
  <c r="Q54" i="9"/>
  <c r="P54" i="9"/>
  <c r="O54" i="9"/>
  <c r="N54" i="9"/>
  <c r="M54" i="9"/>
  <c r="L54" i="9"/>
  <c r="K54" i="9"/>
  <c r="J54" i="9"/>
  <c r="I54" i="9"/>
  <c r="H54" i="9"/>
  <c r="G54" i="9"/>
  <c r="F54" i="9"/>
  <c r="E54" i="9"/>
  <c r="D54" i="9"/>
  <c r="C54" i="9"/>
  <c r="U53" i="9"/>
  <c r="CG53" i="9" s="1"/>
  <c r="S53" i="9"/>
  <c r="R53" i="9"/>
  <c r="Q53" i="9"/>
  <c r="P53" i="9"/>
  <c r="O53" i="9"/>
  <c r="N53" i="9"/>
  <c r="M53" i="9"/>
  <c r="L53" i="9"/>
  <c r="K53" i="9"/>
  <c r="J53" i="9"/>
  <c r="I53" i="9"/>
  <c r="H53" i="9"/>
  <c r="G53" i="9"/>
  <c r="F53" i="9"/>
  <c r="E53" i="9"/>
  <c r="D53" i="9"/>
  <c r="C53" i="9"/>
  <c r="U52" i="9"/>
  <c r="CF52" i="9" s="1"/>
  <c r="S52" i="9"/>
  <c r="R52" i="9"/>
  <c r="Q52" i="9"/>
  <c r="P52" i="9"/>
  <c r="O52" i="9"/>
  <c r="N52" i="9"/>
  <c r="M52" i="9"/>
  <c r="L52" i="9"/>
  <c r="K52" i="9"/>
  <c r="J52" i="9"/>
  <c r="I52" i="9"/>
  <c r="H52" i="9"/>
  <c r="G52" i="9"/>
  <c r="F52" i="9"/>
  <c r="E52" i="9"/>
  <c r="D52" i="9"/>
  <c r="C52" i="9"/>
  <c r="U51" i="9"/>
  <c r="BC51" i="9" s="1"/>
  <c r="S51" i="9"/>
  <c r="R51" i="9"/>
  <c r="Q51" i="9"/>
  <c r="P51" i="9"/>
  <c r="O51" i="9"/>
  <c r="N51" i="9"/>
  <c r="M51" i="9"/>
  <c r="L51" i="9"/>
  <c r="K51" i="9"/>
  <c r="J51" i="9"/>
  <c r="I51" i="9"/>
  <c r="H51" i="9"/>
  <c r="G51" i="9"/>
  <c r="F51" i="9"/>
  <c r="E51" i="9"/>
  <c r="D51" i="9"/>
  <c r="C51" i="9"/>
  <c r="BU50" i="9"/>
  <c r="U50" i="9"/>
  <c r="CK50" i="9" s="1"/>
  <c r="S50" i="9"/>
  <c r="R50" i="9"/>
  <c r="Q50" i="9"/>
  <c r="P50" i="9"/>
  <c r="O50" i="9"/>
  <c r="N50" i="9"/>
  <c r="M50" i="9"/>
  <c r="L50" i="9"/>
  <c r="K50" i="9"/>
  <c r="J50" i="9"/>
  <c r="I50" i="9"/>
  <c r="H50" i="9"/>
  <c r="G50" i="9"/>
  <c r="F50" i="9"/>
  <c r="E50" i="9"/>
  <c r="D50" i="9"/>
  <c r="C50" i="9"/>
  <c r="U49" i="9"/>
  <c r="BJ49" i="9" s="1"/>
  <c r="S49" i="9"/>
  <c r="R49" i="9"/>
  <c r="Q49" i="9"/>
  <c r="P49" i="9"/>
  <c r="O49" i="9"/>
  <c r="N49" i="9"/>
  <c r="M49" i="9"/>
  <c r="L49" i="9"/>
  <c r="K49" i="9"/>
  <c r="J49" i="9"/>
  <c r="I49" i="9"/>
  <c r="H49" i="9"/>
  <c r="G49" i="9"/>
  <c r="F49" i="9"/>
  <c r="E49" i="9"/>
  <c r="D49" i="9"/>
  <c r="C49" i="9"/>
  <c r="U48" i="9"/>
  <c r="AL48" i="9" s="1"/>
  <c r="S48" i="9"/>
  <c r="R48" i="9"/>
  <c r="Q48" i="9"/>
  <c r="P48" i="9"/>
  <c r="O48" i="9"/>
  <c r="N48" i="9"/>
  <c r="M48" i="9"/>
  <c r="L48" i="9"/>
  <c r="K48" i="9"/>
  <c r="J48" i="9"/>
  <c r="I48" i="9"/>
  <c r="H48" i="9"/>
  <c r="G48" i="9"/>
  <c r="F48" i="9"/>
  <c r="E48" i="9"/>
  <c r="D48" i="9"/>
  <c r="C48" i="9"/>
  <c r="U47" i="9"/>
  <c r="BX47" i="9" s="1"/>
  <c r="S47" i="9"/>
  <c r="R47" i="9"/>
  <c r="Q47" i="9"/>
  <c r="P47" i="9"/>
  <c r="O47" i="9"/>
  <c r="N47" i="9"/>
  <c r="M47" i="9"/>
  <c r="L47" i="9"/>
  <c r="K47" i="9"/>
  <c r="J47" i="9"/>
  <c r="I47" i="9"/>
  <c r="H47" i="9"/>
  <c r="G47" i="9"/>
  <c r="F47" i="9"/>
  <c r="E47" i="9"/>
  <c r="D47" i="9"/>
  <c r="C47" i="9"/>
  <c r="U46" i="9"/>
  <c r="CL46" i="9" s="1"/>
  <c r="S46" i="9"/>
  <c r="R46" i="9"/>
  <c r="Q46" i="9"/>
  <c r="P46" i="9"/>
  <c r="O46" i="9"/>
  <c r="N46" i="9"/>
  <c r="M46" i="9"/>
  <c r="L46" i="9"/>
  <c r="K46" i="9"/>
  <c r="J46" i="9"/>
  <c r="I46" i="9"/>
  <c r="H46" i="9"/>
  <c r="G46" i="9"/>
  <c r="F46" i="9"/>
  <c r="E46" i="9"/>
  <c r="D46" i="9"/>
  <c r="C46" i="9"/>
  <c r="CH45" i="9"/>
  <c r="CE45" i="9"/>
  <c r="U45" i="9"/>
  <c r="AP45" i="9" s="1"/>
  <c r="S45" i="9"/>
  <c r="R45" i="9"/>
  <c r="Q45" i="9"/>
  <c r="P45" i="9"/>
  <c r="O45" i="9"/>
  <c r="N45" i="9"/>
  <c r="M45" i="9"/>
  <c r="L45" i="9"/>
  <c r="K45" i="9"/>
  <c r="J45" i="9"/>
  <c r="I45" i="9"/>
  <c r="H45" i="9"/>
  <c r="G45" i="9"/>
  <c r="F45" i="9"/>
  <c r="E45" i="9"/>
  <c r="D45" i="9"/>
  <c r="C45" i="9"/>
  <c r="U44" i="9"/>
  <c r="CJ44" i="9" s="1"/>
  <c r="S44" i="9"/>
  <c r="R44" i="9"/>
  <c r="Q44" i="9"/>
  <c r="P44" i="9"/>
  <c r="O44" i="9"/>
  <c r="N44" i="9"/>
  <c r="M44" i="9"/>
  <c r="L44" i="9"/>
  <c r="K44" i="9"/>
  <c r="J44" i="9"/>
  <c r="I44" i="9"/>
  <c r="H44" i="9"/>
  <c r="G44" i="9"/>
  <c r="F44" i="9"/>
  <c r="E44" i="9"/>
  <c r="D44" i="9"/>
  <c r="C44" i="9"/>
  <c r="U43" i="9"/>
  <c r="CG43" i="9" s="1"/>
  <c r="S43" i="9"/>
  <c r="R43" i="9"/>
  <c r="Q43" i="9"/>
  <c r="P43" i="9"/>
  <c r="O43" i="9"/>
  <c r="N43" i="9"/>
  <c r="M43" i="9"/>
  <c r="L43" i="9"/>
  <c r="K43" i="9"/>
  <c r="J43" i="9"/>
  <c r="I43" i="9"/>
  <c r="H43" i="9"/>
  <c r="G43" i="9"/>
  <c r="F43" i="9"/>
  <c r="E43" i="9"/>
  <c r="D43" i="9"/>
  <c r="C43" i="9"/>
  <c r="U42" i="9"/>
  <c r="AN42" i="9" s="1"/>
  <c r="S42" i="9"/>
  <c r="R42" i="9"/>
  <c r="Q42" i="9"/>
  <c r="P42" i="9"/>
  <c r="O42" i="9"/>
  <c r="N42" i="9"/>
  <c r="M42" i="9"/>
  <c r="L42" i="9"/>
  <c r="K42" i="9"/>
  <c r="J42" i="9"/>
  <c r="I42" i="9"/>
  <c r="H42" i="9"/>
  <c r="G42" i="9"/>
  <c r="F42" i="9"/>
  <c r="E42" i="9"/>
  <c r="D42" i="9"/>
  <c r="C42" i="9"/>
  <c r="U41" i="9"/>
  <c r="BI41" i="9" s="1"/>
  <c r="S41" i="9"/>
  <c r="R41" i="9"/>
  <c r="Q41" i="9"/>
  <c r="P41" i="9"/>
  <c r="O41" i="9"/>
  <c r="N41" i="9"/>
  <c r="M41" i="9"/>
  <c r="L41" i="9"/>
  <c r="K41" i="9"/>
  <c r="J41" i="9"/>
  <c r="I41" i="9"/>
  <c r="H41" i="9"/>
  <c r="G41" i="9"/>
  <c r="F41" i="9"/>
  <c r="E41" i="9"/>
  <c r="D41" i="9"/>
  <c r="C41" i="9"/>
  <c r="U40" i="9"/>
  <c r="CL40" i="9" s="1"/>
  <c r="S40" i="9"/>
  <c r="R40" i="9"/>
  <c r="Q40" i="9"/>
  <c r="P40" i="9"/>
  <c r="O40" i="9"/>
  <c r="N40" i="9"/>
  <c r="M40" i="9"/>
  <c r="L40" i="9"/>
  <c r="K40" i="9"/>
  <c r="J40" i="9"/>
  <c r="I40" i="9"/>
  <c r="H40" i="9"/>
  <c r="G40" i="9"/>
  <c r="F40" i="9"/>
  <c r="E40" i="9"/>
  <c r="D40" i="9"/>
  <c r="C40" i="9"/>
  <c r="U39" i="9"/>
  <c r="S39" i="9"/>
  <c r="R39" i="9"/>
  <c r="Q39" i="9"/>
  <c r="P39" i="9"/>
  <c r="O39" i="9"/>
  <c r="N39" i="9"/>
  <c r="M39" i="9"/>
  <c r="L39" i="9"/>
  <c r="K39" i="9"/>
  <c r="J39" i="9"/>
  <c r="I39" i="9"/>
  <c r="H39" i="9"/>
  <c r="G39" i="9"/>
  <c r="F39" i="9"/>
  <c r="E39" i="9"/>
  <c r="D39" i="9"/>
  <c r="C39" i="9"/>
  <c r="U38" i="9"/>
  <c r="V38" i="9" s="1"/>
  <c r="W38" i="9" s="1"/>
  <c r="X38" i="9" s="1"/>
  <c r="Y38" i="9" s="1"/>
  <c r="Z38" i="9" s="1"/>
  <c r="AA38" i="9" s="1"/>
  <c r="S38" i="9"/>
  <c r="R38" i="9"/>
  <c r="Q38" i="9"/>
  <c r="P38" i="9"/>
  <c r="O38" i="9"/>
  <c r="N38" i="9"/>
  <c r="M38" i="9"/>
  <c r="L38" i="9"/>
  <c r="K38" i="9"/>
  <c r="J38" i="9"/>
  <c r="I38" i="9"/>
  <c r="H38" i="9"/>
  <c r="G38" i="9"/>
  <c r="F38" i="9"/>
  <c r="E38" i="9"/>
  <c r="D38" i="9"/>
  <c r="C38" i="9"/>
  <c r="U37" i="9"/>
  <c r="U36" i="9"/>
  <c r="V36" i="9" s="1"/>
  <c r="W36" i="9" s="1"/>
  <c r="X36" i="9" s="1"/>
  <c r="Y36" i="9" s="1"/>
  <c r="Z36" i="9" s="1"/>
  <c r="AA36" i="9" s="1"/>
  <c r="U35" i="9"/>
  <c r="U34" i="9"/>
  <c r="U33" i="9"/>
  <c r="U32" i="9"/>
  <c r="V32" i="9" s="1"/>
  <c r="W32" i="9" s="1"/>
  <c r="X32" i="9" s="1"/>
  <c r="Y32" i="9" s="1"/>
  <c r="Z32" i="9" s="1"/>
  <c r="AA32" i="9" s="1"/>
  <c r="U31" i="9"/>
  <c r="U30" i="9"/>
  <c r="U29" i="9"/>
  <c r="U28" i="9"/>
  <c r="U27" i="9"/>
  <c r="U26" i="9"/>
  <c r="U25" i="9"/>
  <c r="U24" i="9"/>
  <c r="U23" i="9"/>
  <c r="V23" i="9" s="1"/>
  <c r="W23" i="9" s="1"/>
  <c r="X23" i="9" s="1"/>
  <c r="Y23" i="9" s="1"/>
  <c r="Z23" i="9" s="1"/>
  <c r="AA23" i="9" s="1"/>
  <c r="BS23" i="9" s="1"/>
  <c r="U22" i="9"/>
  <c r="U21" i="9"/>
  <c r="U20" i="9"/>
  <c r="U19" i="9"/>
  <c r="U18" i="9"/>
  <c r="U17" i="9"/>
  <c r="U16" i="9"/>
  <c r="U15" i="9"/>
  <c r="V15" i="9" s="1"/>
  <c r="W15" i="9" s="1"/>
  <c r="X15" i="9" s="1"/>
  <c r="Y15" i="9" s="1"/>
  <c r="Z15" i="9" s="1"/>
  <c r="AA15" i="9" s="1"/>
  <c r="U14" i="9"/>
  <c r="U13" i="9"/>
  <c r="U12" i="9"/>
  <c r="U11" i="9"/>
  <c r="U10" i="9"/>
  <c r="U9" i="9"/>
  <c r="V9" i="9" s="1"/>
  <c r="W9" i="9" s="1"/>
  <c r="X9" i="9" s="1"/>
  <c r="Y9" i="9" s="1"/>
  <c r="Z9" i="9" s="1"/>
  <c r="AA9" i="9" s="1"/>
  <c r="U8" i="9"/>
  <c r="U7" i="9"/>
  <c r="BD244" i="8"/>
  <c r="BC5" i="8" s="1"/>
  <c r="H242" i="8"/>
  <c r="G242" i="8"/>
  <c r="F242" i="8"/>
  <c r="E242" i="8"/>
  <c r="D242" i="8"/>
  <c r="C242" i="8"/>
  <c r="T240" i="8"/>
  <c r="S240" i="8"/>
  <c r="R240" i="8"/>
  <c r="Q240" i="8"/>
  <c r="P240" i="8"/>
  <c r="O240" i="8"/>
  <c r="N240" i="8"/>
  <c r="G239" i="8"/>
  <c r="H239" i="8" s="1"/>
  <c r="G238" i="8"/>
  <c r="H238" i="8" s="1"/>
  <c r="G237" i="8"/>
  <c r="H237" i="8" s="1"/>
  <c r="G236" i="8"/>
  <c r="H236" i="8" s="1"/>
  <c r="R235" i="8"/>
  <c r="T235" i="8" s="1"/>
  <c r="G235" i="8"/>
  <c r="H235" i="8" s="1"/>
  <c r="D235" i="8"/>
  <c r="R234" i="8"/>
  <c r="T234" i="8" s="1"/>
  <c r="R233" i="8"/>
  <c r="T233" i="8" s="1"/>
  <c r="C233" i="8"/>
  <c r="R232" i="8"/>
  <c r="T232" i="8" s="1"/>
  <c r="R231" i="8"/>
  <c r="T231" i="8" s="1"/>
  <c r="R230" i="8"/>
  <c r="T230" i="8" s="1"/>
  <c r="K230" i="8"/>
  <c r="J230" i="8"/>
  <c r="I230" i="8"/>
  <c r="H230" i="8"/>
  <c r="G230" i="8"/>
  <c r="F230" i="8"/>
  <c r="E230" i="8"/>
  <c r="D230" i="8"/>
  <c r="C230" i="8"/>
  <c r="R229" i="8"/>
  <c r="T229" i="8" s="1"/>
  <c r="R228" i="8"/>
  <c r="T228" i="8" s="1"/>
  <c r="R227" i="8"/>
  <c r="T227" i="8" s="1"/>
  <c r="H227" i="8"/>
  <c r="R226" i="8"/>
  <c r="T226" i="8" s="1"/>
  <c r="K226" i="8"/>
  <c r="K227" i="8" s="1"/>
  <c r="H226" i="8"/>
  <c r="E226" i="8"/>
  <c r="E227" i="8" s="1"/>
  <c r="N225" i="8"/>
  <c r="T222" i="8" s="1"/>
  <c r="K223" i="8"/>
  <c r="K222" i="8" s="1"/>
  <c r="O222" i="8"/>
  <c r="H222" i="8"/>
  <c r="H223" i="8" s="1"/>
  <c r="E222" i="8"/>
  <c r="E223" i="8" s="1"/>
  <c r="N219" i="8"/>
  <c r="C219" i="8"/>
  <c r="K216" i="8"/>
  <c r="J216" i="8"/>
  <c r="I216" i="8"/>
  <c r="H216" i="8"/>
  <c r="G216" i="8"/>
  <c r="F216" i="8"/>
  <c r="E216" i="8"/>
  <c r="D216" i="8"/>
  <c r="C216" i="8"/>
  <c r="L213" i="8"/>
  <c r="H213" i="8"/>
  <c r="H212" i="8" s="1"/>
  <c r="L212" i="8"/>
  <c r="K212" i="8"/>
  <c r="K213" i="8" s="1"/>
  <c r="E212" i="8"/>
  <c r="E213" i="8" s="1"/>
  <c r="L208" i="8"/>
  <c r="H208" i="8"/>
  <c r="E208" i="8"/>
  <c r="L207" i="8"/>
  <c r="K207" i="8"/>
  <c r="K208" i="8" s="1"/>
  <c r="H207" i="8"/>
  <c r="E207" i="8"/>
  <c r="C204" i="8"/>
  <c r="H201" i="8"/>
  <c r="G201" i="8"/>
  <c r="F201" i="8"/>
  <c r="E201" i="8"/>
  <c r="D201" i="8"/>
  <c r="C201" i="8"/>
  <c r="E198" i="8"/>
  <c r="G187" i="8"/>
  <c r="F184" i="8"/>
  <c r="C172" i="8" s="1"/>
  <c r="E184" i="8"/>
  <c r="D172" i="8" s="1"/>
  <c r="G182" i="8"/>
  <c r="E185" i="8" s="1"/>
  <c r="F172" i="8" s="1"/>
  <c r="F182" i="8"/>
  <c r="D179" i="8"/>
  <c r="F178" i="8"/>
  <c r="H178" i="8" s="1"/>
  <c r="F177" i="8"/>
  <c r="E171" i="8" s="1"/>
  <c r="H171" i="8" s="1"/>
  <c r="F170" i="8"/>
  <c r="C169" i="8"/>
  <c r="G168" i="8"/>
  <c r="H167" i="8"/>
  <c r="H165" i="8"/>
  <c r="G165" i="8"/>
  <c r="F165" i="8"/>
  <c r="E165" i="8"/>
  <c r="D165" i="8"/>
  <c r="C165" i="8"/>
  <c r="H162" i="8"/>
  <c r="I152" i="8"/>
  <c r="I151" i="8"/>
  <c r="G151" i="8"/>
  <c r="J152" i="8" s="1"/>
  <c r="M150" i="8"/>
  <c r="I150" i="8"/>
  <c r="F150" i="8"/>
  <c r="E150" i="8"/>
  <c r="E151" i="8" s="1"/>
  <c r="J151" i="8" s="1"/>
  <c r="I148" i="8"/>
  <c r="I147" i="8"/>
  <c r="G147" i="8"/>
  <c r="G150" i="8" s="1"/>
  <c r="F147" i="8"/>
  <c r="H147" i="8" s="1"/>
  <c r="I145" i="8"/>
  <c r="H145" i="8"/>
  <c r="G145" i="8"/>
  <c r="J145" i="8" s="1"/>
  <c r="I144" i="8"/>
  <c r="G144" i="8"/>
  <c r="J144" i="8" s="1"/>
  <c r="I142" i="8"/>
  <c r="I141" i="8"/>
  <c r="I140" i="8"/>
  <c r="I139" i="8"/>
  <c r="C139" i="8"/>
  <c r="I138" i="8"/>
  <c r="G138" i="8"/>
  <c r="J138" i="8" s="1"/>
  <c r="H137" i="8"/>
  <c r="H134" i="8"/>
  <c r="G134" i="8"/>
  <c r="F134" i="8"/>
  <c r="E134" i="8"/>
  <c r="D134" i="8"/>
  <c r="C134" i="8"/>
  <c r="H131" i="8"/>
  <c r="I121" i="8"/>
  <c r="I120" i="8"/>
  <c r="G120" i="8"/>
  <c r="J121" i="8" s="1"/>
  <c r="I119" i="8"/>
  <c r="F119" i="8"/>
  <c r="E119" i="8"/>
  <c r="E120" i="8" s="1"/>
  <c r="J120" i="8" s="1"/>
  <c r="I116" i="8"/>
  <c r="F116" i="8"/>
  <c r="H116" i="8" s="1"/>
  <c r="I114" i="8"/>
  <c r="I113" i="8"/>
  <c r="G113" i="8"/>
  <c r="J113" i="8" s="1"/>
  <c r="I111" i="8"/>
  <c r="I110" i="8"/>
  <c r="I109" i="8"/>
  <c r="I108" i="8"/>
  <c r="C108" i="8"/>
  <c r="I107" i="8"/>
  <c r="G107" i="8"/>
  <c r="J107" i="8" s="1"/>
  <c r="I106" i="8"/>
  <c r="I103" i="8"/>
  <c r="S84" i="8"/>
  <c r="R84" i="8"/>
  <c r="Q84" i="8"/>
  <c r="P84" i="8"/>
  <c r="O84" i="8"/>
  <c r="C82" i="8"/>
  <c r="C80" i="8"/>
  <c r="R79" i="8"/>
  <c r="C78" i="8"/>
  <c r="P69" i="8"/>
  <c r="O69" i="8"/>
  <c r="N69" i="8"/>
  <c r="M69" i="8"/>
  <c r="L69" i="8"/>
  <c r="K69" i="8"/>
  <c r="J69" i="8"/>
  <c r="C66" i="8"/>
  <c r="C63" i="8"/>
  <c r="C60" i="8"/>
  <c r="O58" i="8"/>
  <c r="O57" i="8"/>
  <c r="C57" i="8"/>
  <c r="O56" i="8"/>
  <c r="O55" i="8"/>
  <c r="C54" i="8"/>
  <c r="P52" i="8"/>
  <c r="P51" i="8"/>
  <c r="C51" i="8"/>
  <c r="D43" i="8"/>
  <c r="C43" i="8"/>
  <c r="E69" i="8" s="1"/>
  <c r="B43" i="8"/>
  <c r="D29" i="8"/>
  <c r="BE7" i="8"/>
  <c r="BE6" i="8"/>
  <c r="AZ2" i="8"/>
  <c r="AY2" i="8"/>
  <c r="AX2" i="8"/>
  <c r="AW2" i="8"/>
  <c r="AV2" i="8"/>
  <c r="AU2" i="8"/>
  <c r="AT2" i="8"/>
  <c r="AS2" i="8"/>
  <c r="AR2" i="8"/>
  <c r="AQ2" i="8"/>
  <c r="AP2" i="8"/>
  <c r="AO2" i="8"/>
  <c r="AN2" i="8"/>
  <c r="AM2" i="8"/>
  <c r="AL2" i="8"/>
  <c r="AJ2" i="8"/>
  <c r="AI2" i="8"/>
  <c r="AH2" i="8"/>
  <c r="AG2" i="8"/>
  <c r="AF2" i="8"/>
  <c r="AE2" i="8"/>
  <c r="AD2" i="8"/>
  <c r="AC2" i="8"/>
  <c r="AB2" i="8"/>
  <c r="AA2" i="8"/>
  <c r="Z2" i="8"/>
  <c r="Y2" i="8"/>
  <c r="X2" i="8"/>
  <c r="W2" i="8"/>
  <c r="V2" i="8"/>
  <c r="T2" i="8"/>
  <c r="S2" i="8"/>
  <c r="R2" i="8"/>
  <c r="Q2" i="8"/>
  <c r="P2" i="8"/>
  <c r="O2" i="8"/>
  <c r="N2" i="8"/>
  <c r="M2" i="8"/>
  <c r="L2" i="8"/>
  <c r="K2" i="8"/>
  <c r="J2" i="8"/>
  <c r="I2" i="8"/>
  <c r="H2" i="8"/>
  <c r="G2" i="8"/>
  <c r="F2" i="8"/>
  <c r="E2" i="8"/>
  <c r="D2" i="8"/>
  <c r="C2" i="8"/>
  <c r="BF1" i="8"/>
  <c r="BE1" i="8"/>
  <c r="AZ1" i="8"/>
  <c r="AY1" i="8"/>
  <c r="AX1" i="8"/>
  <c r="AW1" i="8"/>
  <c r="AV1" i="8"/>
  <c r="AU1" i="8"/>
  <c r="AT1" i="8"/>
  <c r="AS1" i="8"/>
  <c r="AR1" i="8"/>
  <c r="AQ1" i="8"/>
  <c r="AP1" i="8"/>
  <c r="AO1" i="8"/>
  <c r="AN1" i="8"/>
  <c r="AM1" i="8"/>
  <c r="AL1" i="8"/>
  <c r="AJ1" i="8"/>
  <c r="AI1" i="8"/>
  <c r="AH1" i="8"/>
  <c r="AG1" i="8"/>
  <c r="AF1" i="8"/>
  <c r="AE1" i="8"/>
  <c r="AD1" i="8"/>
  <c r="AC1" i="8"/>
  <c r="AB1" i="8"/>
  <c r="AA1" i="8"/>
  <c r="Z1" i="8"/>
  <c r="Y1" i="8"/>
  <c r="X1" i="8"/>
  <c r="W1" i="8"/>
  <c r="V1" i="8"/>
  <c r="T1" i="8"/>
  <c r="S1" i="8"/>
  <c r="R1" i="8"/>
  <c r="Q1" i="8"/>
  <c r="P1" i="8"/>
  <c r="O1" i="8"/>
  <c r="N1" i="8"/>
  <c r="M1" i="8"/>
  <c r="L1" i="8"/>
  <c r="K1" i="8"/>
  <c r="J1" i="8"/>
  <c r="I1" i="8"/>
  <c r="H1" i="8"/>
  <c r="G1" i="8"/>
  <c r="F1" i="8"/>
  <c r="E1" i="8"/>
  <c r="D1" i="8"/>
  <c r="C1" i="8"/>
  <c r="A1" i="8"/>
  <c r="P56" i="8"/>
  <c r="E43" i="8"/>
  <c r="D80" i="8"/>
  <c r="K151" i="8"/>
  <c r="D66" i="8"/>
  <c r="K139" i="8"/>
  <c r="K116" i="8"/>
  <c r="D57" i="8"/>
  <c r="K120" i="8"/>
  <c r="K147" i="8"/>
  <c r="K138" i="8"/>
  <c r="D82" i="8"/>
  <c r="K140" i="8"/>
  <c r="M207" i="8"/>
  <c r="D63" i="8"/>
  <c r="M213" i="8"/>
  <c r="K121" i="8"/>
  <c r="K141" i="8"/>
  <c r="J104" i="8"/>
  <c r="K144" i="8"/>
  <c r="K107" i="8"/>
  <c r="P58" i="8"/>
  <c r="K150" i="8"/>
  <c r="Q51" i="8"/>
  <c r="J103" i="8"/>
  <c r="D54" i="8"/>
  <c r="K109" i="8"/>
  <c r="N150" i="8"/>
  <c r="M212" i="8"/>
  <c r="Q52" i="8"/>
  <c r="K110" i="8"/>
  <c r="D60" i="8"/>
  <c r="K152" i="8"/>
  <c r="D78" i="8"/>
  <c r="K111" i="8"/>
  <c r="K148" i="8"/>
  <c r="K108" i="8"/>
  <c r="K114" i="8"/>
  <c r="K119" i="8"/>
  <c r="K113" i="8"/>
  <c r="M208" i="8"/>
  <c r="K145" i="8"/>
  <c r="P57" i="8"/>
  <c r="K142" i="8"/>
  <c r="D51" i="8"/>
  <c r="BT54" i="9" l="1"/>
  <c r="BP46" i="9"/>
  <c r="AX53" i="9"/>
  <c r="AY53" i="9"/>
  <c r="CC53" i="9"/>
  <c r="BO46" i="9"/>
  <c r="CD53" i="9"/>
  <c r="BQ54" i="9"/>
  <c r="BQ46" i="9"/>
  <c r="AV53" i="9"/>
  <c r="CG38" i="9"/>
  <c r="CG45" i="9"/>
  <c r="CE53" i="9"/>
  <c r="CC59" i="9"/>
  <c r="BG65" i="9"/>
  <c r="BN46" i="9"/>
  <c r="CF53" i="9"/>
  <c r="CE59" i="9"/>
  <c r="BK46" i="9"/>
  <c r="AW53" i="9"/>
  <c r="CJ45" i="9"/>
  <c r="BT50" i="9"/>
  <c r="AG50" i="9"/>
  <c r="AH50" i="9"/>
  <c r="AG59" i="9"/>
  <c r="AL46" i="9"/>
  <c r="BU46" i="9"/>
  <c r="AI50" i="9"/>
  <c r="BU55" i="9"/>
  <c r="AH59" i="9"/>
  <c r="AJ65" i="9"/>
  <c r="BT65" i="9"/>
  <c r="BW50" i="9"/>
  <c r="AD59" i="9"/>
  <c r="CH59" i="9"/>
  <c r="AE65" i="9"/>
  <c r="CC50" i="9"/>
  <c r="BR65" i="9"/>
  <c r="BT46" i="9"/>
  <c r="CH50" i="9"/>
  <c r="BQ55" i="9"/>
  <c r="AI65" i="9"/>
  <c r="BS65" i="9"/>
  <c r="AN46" i="9"/>
  <c r="BV46" i="9"/>
  <c r="AL50" i="9"/>
  <c r="CA55" i="9"/>
  <c r="AI59" i="9"/>
  <c r="CH60" i="9"/>
  <c r="AK65" i="9"/>
  <c r="BU65" i="9"/>
  <c r="AT55" i="9"/>
  <c r="CK59" i="9"/>
  <c r="AO46" i="9"/>
  <c r="CH46" i="9"/>
  <c r="AO50" i="9"/>
  <c r="CH55" i="9"/>
  <c r="AP59" i="9"/>
  <c r="AL65" i="9"/>
  <c r="BV65" i="9"/>
  <c r="AP46" i="9"/>
  <c r="CI46" i="9"/>
  <c r="AR50" i="9"/>
  <c r="CL55" i="9"/>
  <c r="AW59" i="9"/>
  <c r="AM65" i="9"/>
  <c r="BW65" i="9"/>
  <c r="AH65" i="9"/>
  <c r="AQ46" i="9"/>
  <c r="CJ46" i="9"/>
  <c r="AX50" i="9"/>
  <c r="BT52" i="9"/>
  <c r="AU54" i="9"/>
  <c r="BA59" i="9"/>
  <c r="AO65" i="9"/>
  <c r="BX65" i="9"/>
  <c r="AT46" i="9"/>
  <c r="AY50" i="9"/>
  <c r="CC52" i="9"/>
  <c r="AX54" i="9"/>
  <c r="BC59" i="9"/>
  <c r="AR65" i="9"/>
  <c r="BY65" i="9"/>
  <c r="AU46" i="9"/>
  <c r="AZ50" i="9"/>
  <c r="CG52" i="9"/>
  <c r="BE54" i="9"/>
  <c r="BF59" i="9"/>
  <c r="AT65" i="9"/>
  <c r="BZ65" i="9"/>
  <c r="AE59" i="9"/>
  <c r="CI38" i="9"/>
  <c r="BH45" i="9"/>
  <c r="AW46" i="9"/>
  <c r="BA50" i="9"/>
  <c r="BF54" i="9"/>
  <c r="BH59" i="9"/>
  <c r="AY65" i="9"/>
  <c r="CF65" i="9"/>
  <c r="BH65" i="9"/>
  <c r="AE50" i="9"/>
  <c r="CI59" i="9"/>
  <c r="AF59" i="9"/>
  <c r="BI45" i="9"/>
  <c r="AX46" i="9"/>
  <c r="BB50" i="9"/>
  <c r="BN54" i="9"/>
  <c r="BI59" i="9"/>
  <c r="AZ65" i="9"/>
  <c r="BX50" i="9"/>
  <c r="BJ65" i="9"/>
  <c r="CD45" i="9"/>
  <c r="BJ46" i="9"/>
  <c r="BS50" i="9"/>
  <c r="AU53" i="9"/>
  <c r="BO54" i="9"/>
  <c r="CB59" i="9"/>
  <c r="BA65" i="9"/>
  <c r="BR57" i="9"/>
  <c r="BS57" i="9"/>
  <c r="BO57" i="9"/>
  <c r="BA57" i="9"/>
  <c r="CL64" i="9"/>
  <c r="BF64" i="9"/>
  <c r="AX64" i="9"/>
  <c r="BZ64" i="9"/>
  <c r="BV64" i="9"/>
  <c r="AG64" i="9"/>
  <c r="BE64" i="9"/>
  <c r="AP64" i="9"/>
  <c r="CK64" i="9"/>
  <c r="BA64" i="9"/>
  <c r="AF64" i="9"/>
  <c r="CH64" i="9"/>
  <c r="AZ64" i="9"/>
  <c r="CG64" i="9"/>
  <c r="AY64" i="9"/>
  <c r="CC64" i="9"/>
  <c r="CA64" i="9"/>
  <c r="AO64" i="9"/>
  <c r="BY64" i="9"/>
  <c r="AL64" i="9"/>
  <c r="BX64" i="9"/>
  <c r="AK64" i="9"/>
  <c r="BW64" i="9"/>
  <c r="AJ64" i="9"/>
  <c r="BU64" i="9"/>
  <c r="BN64" i="9"/>
  <c r="AE64" i="9"/>
  <c r="BH64" i="9"/>
  <c r="AD64" i="9"/>
  <c r="AD61" i="9"/>
  <c r="AN43" i="9"/>
  <c r="AU47" i="9"/>
  <c r="AZ53" i="9"/>
  <c r="CI53" i="9"/>
  <c r="AO61" i="9"/>
  <c r="AV63" i="9"/>
  <c r="BA61" i="9"/>
  <c r="BA63" i="9"/>
  <c r="AE53" i="9"/>
  <c r="BB61" i="9"/>
  <c r="BD63" i="9"/>
  <c r="BL53" i="9"/>
  <c r="BU54" i="9"/>
  <c r="AK58" i="9"/>
  <c r="BC61" i="9"/>
  <c r="BE63" i="9"/>
  <c r="BD40" i="9"/>
  <c r="BM53" i="9"/>
  <c r="AS58" i="9"/>
  <c r="AO60" i="9"/>
  <c r="BZ46" i="9"/>
  <c r="AH53" i="9"/>
  <c r="BY54" i="9"/>
  <c r="BC38" i="9"/>
  <c r="AW44" i="9"/>
  <c r="AD46" i="9"/>
  <c r="BC46" i="9"/>
  <c r="CA46" i="9"/>
  <c r="AI53" i="9"/>
  <c r="BO53" i="9"/>
  <c r="AI54" i="9"/>
  <c r="CK54" i="9"/>
  <c r="AZ56" i="9"/>
  <c r="BD58" i="9"/>
  <c r="BT60" i="9"/>
  <c r="BR61" i="9"/>
  <c r="CB63" i="9"/>
  <c r="BF38" i="9"/>
  <c r="BV40" i="9"/>
  <c r="BQ44" i="9"/>
  <c r="AH46" i="9"/>
  <c r="BD46" i="9"/>
  <c r="CC46" i="9"/>
  <c r="BC50" i="9"/>
  <c r="AL52" i="9"/>
  <c r="AM53" i="9"/>
  <c r="BP53" i="9"/>
  <c r="AL54" i="9"/>
  <c r="CL54" i="9"/>
  <c r="BZ56" i="9"/>
  <c r="BF58" i="9"/>
  <c r="BY60" i="9"/>
  <c r="BX61" i="9"/>
  <c r="CF63" i="9"/>
  <c r="AK63" i="9"/>
  <c r="CH53" i="9"/>
  <c r="BE43" i="9"/>
  <c r="AD53" i="9"/>
  <c r="AN40" i="9"/>
  <c r="BH53" i="9"/>
  <c r="AJ58" i="9"/>
  <c r="AO40" i="9"/>
  <c r="AB60" i="9"/>
  <c r="AT38" i="9"/>
  <c r="V46" i="9"/>
  <c r="W46" i="9" s="1"/>
  <c r="X46" i="9" s="1"/>
  <c r="Y46" i="9" s="1"/>
  <c r="Z46" i="9" s="1"/>
  <c r="AA46" i="9" s="1"/>
  <c r="BG51" i="9"/>
  <c r="AG53" i="9"/>
  <c r="BV54" i="9"/>
  <c r="AE54" i="9"/>
  <c r="AY56" i="9"/>
  <c r="BU40" i="9"/>
  <c r="BH38" i="9"/>
  <c r="BW40" i="9"/>
  <c r="AI46" i="9"/>
  <c r="BF46" i="9"/>
  <c r="CD46" i="9"/>
  <c r="V50" i="9"/>
  <c r="W50" i="9" s="1"/>
  <c r="X50" i="9" s="1"/>
  <c r="Y50" i="9" s="1"/>
  <c r="Z50" i="9" s="1"/>
  <c r="AA50" i="9" s="1"/>
  <c r="BG50" i="9"/>
  <c r="AS52" i="9"/>
  <c r="AO53" i="9"/>
  <c r="BR53" i="9"/>
  <c r="AM54" i="9"/>
  <c r="CC56" i="9"/>
  <c r="CE58" i="9"/>
  <c r="BK59" i="9"/>
  <c r="BZ60" i="9"/>
  <c r="CC61" i="9"/>
  <c r="CH63" i="9"/>
  <c r="CJ65" i="9"/>
  <c r="V53" i="9"/>
  <c r="W53" i="9" s="1"/>
  <c r="X53" i="9" s="1"/>
  <c r="Y53" i="9" s="1"/>
  <c r="Z53" i="9" s="1"/>
  <c r="AA53" i="9" s="1"/>
  <c r="AM40" i="9"/>
  <c r="BQ47" i="9"/>
  <c r="BD53" i="9"/>
  <c r="CL53" i="9"/>
  <c r="AE38" i="9"/>
  <c r="BV43" i="9"/>
  <c r="AF53" i="9"/>
  <c r="AL56" i="9"/>
  <c r="BX46" i="9"/>
  <c r="AN56" i="9"/>
  <c r="BD61" i="9"/>
  <c r="BH63" i="9"/>
  <c r="BE40" i="9"/>
  <c r="AB46" i="9"/>
  <c r="BN53" i="9"/>
  <c r="AV58" i="9"/>
  <c r="BP38" i="9"/>
  <c r="AJ46" i="9"/>
  <c r="BG46" i="9"/>
  <c r="CE46" i="9"/>
  <c r="AB50" i="9"/>
  <c r="BM50" i="9"/>
  <c r="AT52" i="9"/>
  <c r="AQ53" i="9"/>
  <c r="BU53" i="9"/>
  <c r="AR54" i="9"/>
  <c r="CF56" i="9"/>
  <c r="BP59" i="9"/>
  <c r="CA60" i="9"/>
  <c r="CE61" i="9"/>
  <c r="CK63" i="9"/>
  <c r="BE65" i="9"/>
  <c r="AL61" i="9"/>
  <c r="AT63" i="9"/>
  <c r="AK38" i="9"/>
  <c r="BA46" i="9"/>
  <c r="AC54" i="9"/>
  <c r="AZ38" i="9"/>
  <c r="AV44" i="9"/>
  <c r="BB46" i="9"/>
  <c r="AP60" i="9"/>
  <c r="BF61" i="9"/>
  <c r="BQ63" i="9"/>
  <c r="BR38" i="9"/>
  <c r="BG45" i="9"/>
  <c r="AK46" i="9"/>
  <c r="BH46" i="9"/>
  <c r="CG46" i="9"/>
  <c r="AD50" i="9"/>
  <c r="BR50" i="9"/>
  <c r="BR52" i="9"/>
  <c r="AR53" i="9"/>
  <c r="BY53" i="9"/>
  <c r="AS54" i="9"/>
  <c r="CG56" i="9"/>
  <c r="BX59" i="9"/>
  <c r="CC60" i="9"/>
  <c r="BF65" i="9"/>
  <c r="BT62" i="9"/>
  <c r="CL62" i="9"/>
  <c r="CJ62" i="9"/>
  <c r="CI62" i="9"/>
  <c r="BV62" i="9"/>
  <c r="AN62" i="9"/>
  <c r="CE62" i="9"/>
  <c r="BT41" i="9"/>
  <c r="BG41" i="9"/>
  <c r="CL41" i="9"/>
  <c r="BD41" i="9"/>
  <c r="CK41" i="9"/>
  <c r="BB41" i="9"/>
  <c r="CJ41" i="9"/>
  <c r="BA41" i="9"/>
  <c r="CI41" i="9"/>
  <c r="AZ41" i="9"/>
  <c r="CH41" i="9"/>
  <c r="AR41" i="9"/>
  <c r="BP41" i="9"/>
  <c r="CG41" i="9"/>
  <c r="AQ41" i="9"/>
  <c r="BY41" i="9"/>
  <c r="AP41" i="9"/>
  <c r="AF41" i="9"/>
  <c r="BU41" i="9"/>
  <c r="AO41" i="9"/>
  <c r="BS41" i="9"/>
  <c r="AN41" i="9"/>
  <c r="BR41" i="9"/>
  <c r="AM41" i="9"/>
  <c r="AH41" i="9"/>
  <c r="BN41" i="9"/>
  <c r="BQ41" i="9"/>
  <c r="AL41" i="9"/>
  <c r="CL42" i="9"/>
  <c r="CI42" i="9"/>
  <c r="CG42" i="9"/>
  <c r="CE42" i="9"/>
  <c r="CD42" i="9"/>
  <c r="BV42" i="9"/>
  <c r="BF42" i="9"/>
  <c r="BD42" i="9"/>
  <c r="AY42" i="9"/>
  <c r="AX42" i="9"/>
  <c r="AW42" i="9"/>
  <c r="AO42" i="9"/>
  <c r="AV42" i="9"/>
  <c r="AU42" i="9"/>
  <c r="V34" i="9"/>
  <c r="W34" i="9" s="1"/>
  <c r="X34" i="9" s="1"/>
  <c r="Y34" i="9" s="1"/>
  <c r="Z34" i="9" s="1"/>
  <c r="AA34" i="9" s="1"/>
  <c r="BX34" i="9" s="1"/>
  <c r="BH41" i="9"/>
  <c r="BR47" i="9"/>
  <c r="V40" i="9"/>
  <c r="W40" i="9" s="1"/>
  <c r="X40" i="9" s="1"/>
  <c r="Y40" i="9" s="1"/>
  <c r="Z40" i="9" s="1"/>
  <c r="AA40" i="9" s="1"/>
  <c r="AX47" i="9"/>
  <c r="AQ40" i="9"/>
  <c r="BH40" i="9"/>
  <c r="BY40" i="9"/>
  <c r="AR43" i="9"/>
  <c r="BI43" i="9"/>
  <c r="BZ43" i="9"/>
  <c r="AE44" i="9"/>
  <c r="AZ44" i="9"/>
  <c r="BY44" i="9"/>
  <c r="AD47" i="9"/>
  <c r="AY47" i="9"/>
  <c r="BW47" i="9"/>
  <c r="AU49" i="9"/>
  <c r="AH51" i="9"/>
  <c r="BU51" i="9"/>
  <c r="BB56" i="9"/>
  <c r="CH56" i="9"/>
  <c r="AE66" i="9"/>
  <c r="AO43" i="9"/>
  <c r="BW43" i="9"/>
  <c r="BV44" i="9"/>
  <c r="BF40" i="9"/>
  <c r="BG43" i="9"/>
  <c r="AX44" i="9"/>
  <c r="AW47" i="9"/>
  <c r="V51" i="9"/>
  <c r="W51" i="9" s="1"/>
  <c r="X51" i="9" s="1"/>
  <c r="Y51" i="9" s="1"/>
  <c r="Z51" i="9" s="1"/>
  <c r="AA51" i="9" s="1"/>
  <c r="BX44" i="9"/>
  <c r="AT49" i="9"/>
  <c r="AR40" i="9"/>
  <c r="BI40" i="9"/>
  <c r="BZ40" i="9"/>
  <c r="AB43" i="9"/>
  <c r="AS43" i="9"/>
  <c r="BJ43" i="9"/>
  <c r="CA43" i="9"/>
  <c r="AF44" i="9"/>
  <c r="BE44" i="9"/>
  <c r="CA44" i="9"/>
  <c r="AE47" i="9"/>
  <c r="AZ47" i="9"/>
  <c r="BY47" i="9"/>
  <c r="BC49" i="9"/>
  <c r="AJ51" i="9"/>
  <c r="BV51" i="9"/>
  <c r="BC56" i="9"/>
  <c r="AI66" i="9"/>
  <c r="V26" i="9"/>
  <c r="W26" i="9" s="1"/>
  <c r="X26" i="9" s="1"/>
  <c r="Y26" i="9" s="1"/>
  <c r="Z26" i="9" s="1"/>
  <c r="AA26" i="9" s="1"/>
  <c r="CA26" i="9" s="1"/>
  <c r="BD38" i="9"/>
  <c r="AB40" i="9"/>
  <c r="AS40" i="9"/>
  <c r="BJ40" i="9"/>
  <c r="CA40" i="9"/>
  <c r="AC43" i="9"/>
  <c r="AT43" i="9"/>
  <c r="BK43" i="9"/>
  <c r="CB43" i="9"/>
  <c r="AG44" i="9"/>
  <c r="BF44" i="9"/>
  <c r="CB44" i="9"/>
  <c r="AF47" i="9"/>
  <c r="BA47" i="9"/>
  <c r="CC47" i="9"/>
  <c r="BD49" i="9"/>
  <c r="AJ50" i="9"/>
  <c r="BD50" i="9"/>
  <c r="BY50" i="9"/>
  <c r="AL51" i="9"/>
  <c r="BW51" i="9"/>
  <c r="CD52" i="9"/>
  <c r="AJ53" i="9"/>
  <c r="BB53" i="9"/>
  <c r="BS53" i="9"/>
  <c r="CJ53" i="9"/>
  <c r="AV54" i="9"/>
  <c r="BW54" i="9"/>
  <c r="BD56" i="9"/>
  <c r="BZ58" i="9"/>
  <c r="AJ59" i="9"/>
  <c r="BN59" i="9"/>
  <c r="BU61" i="9"/>
  <c r="AR66" i="9"/>
  <c r="AP43" i="9"/>
  <c r="AC44" i="9"/>
  <c r="AE51" i="9"/>
  <c r="AC40" i="9"/>
  <c r="AT40" i="9"/>
  <c r="BK40" i="9"/>
  <c r="CB40" i="9"/>
  <c r="AD43" i="9"/>
  <c r="AU43" i="9"/>
  <c r="BL43" i="9"/>
  <c r="CC43" i="9"/>
  <c r="AH44" i="9"/>
  <c r="BG44" i="9"/>
  <c r="CC44" i="9"/>
  <c r="AG47" i="9"/>
  <c r="BC47" i="9"/>
  <c r="CD47" i="9"/>
  <c r="BE49" i="9"/>
  <c r="AK50" i="9"/>
  <c r="BE50" i="9"/>
  <c r="BZ50" i="9"/>
  <c r="AM51" i="9"/>
  <c r="BX51" i="9"/>
  <c r="CE52" i="9"/>
  <c r="AL53" i="9"/>
  <c r="BC53" i="9"/>
  <c r="BT53" i="9"/>
  <c r="CK53" i="9"/>
  <c r="AW54" i="9"/>
  <c r="BX54" i="9"/>
  <c r="BE56" i="9"/>
  <c r="CB58" i="9"/>
  <c r="AL59" i="9"/>
  <c r="BO59" i="9"/>
  <c r="BV61" i="9"/>
  <c r="AS66" i="9"/>
  <c r="BF43" i="9"/>
  <c r="AD40" i="9"/>
  <c r="AU40" i="9"/>
  <c r="BL40" i="9"/>
  <c r="CC40" i="9"/>
  <c r="AE43" i="9"/>
  <c r="AV43" i="9"/>
  <c r="BM43" i="9"/>
  <c r="CD43" i="9"/>
  <c r="AI44" i="9"/>
  <c r="BH44" i="9"/>
  <c r="CD44" i="9"/>
  <c r="AH47" i="9"/>
  <c r="BF47" i="9"/>
  <c r="CE47" i="9"/>
  <c r="BG49" i="9"/>
  <c r="AN51" i="9"/>
  <c r="CA51" i="9"/>
  <c r="BF56" i="9"/>
  <c r="AT66" i="9"/>
  <c r="BK38" i="9"/>
  <c r="AE40" i="9"/>
  <c r="AV40" i="9"/>
  <c r="BM40" i="9"/>
  <c r="CD40" i="9"/>
  <c r="AF43" i="9"/>
  <c r="AW43" i="9"/>
  <c r="BN43" i="9"/>
  <c r="CE43" i="9"/>
  <c r="AN44" i="9"/>
  <c r="BI44" i="9"/>
  <c r="CE44" i="9"/>
  <c r="AR46" i="9"/>
  <c r="BM46" i="9"/>
  <c r="CF46" i="9"/>
  <c r="AI47" i="9"/>
  <c r="BI47" i="9"/>
  <c r="CF47" i="9"/>
  <c r="AM50" i="9"/>
  <c r="BI50" i="9"/>
  <c r="CD50" i="9"/>
  <c r="AO51" i="9"/>
  <c r="CJ51" i="9"/>
  <c r="CH52" i="9"/>
  <c r="AN53" i="9"/>
  <c r="BE53" i="9"/>
  <c r="BV53" i="9"/>
  <c r="AZ54" i="9"/>
  <c r="CA54" i="9"/>
  <c r="V56" i="9"/>
  <c r="W56" i="9" s="1"/>
  <c r="X56" i="9" s="1"/>
  <c r="Y56" i="9" s="1"/>
  <c r="Z56" i="9" s="1"/>
  <c r="AA56" i="9" s="1"/>
  <c r="BG56" i="9"/>
  <c r="CG58" i="9"/>
  <c r="AT59" i="9"/>
  <c r="BQ59" i="9"/>
  <c r="AH60" i="9"/>
  <c r="AF61" i="9"/>
  <c r="BZ61" i="9"/>
  <c r="BB64" i="9"/>
  <c r="CF64" i="9"/>
  <c r="AW66" i="9"/>
  <c r="BW44" i="9"/>
  <c r="AY44" i="9"/>
  <c r="BU47" i="9"/>
  <c r="AF40" i="9"/>
  <c r="AW40" i="9"/>
  <c r="BN40" i="9"/>
  <c r="CE40" i="9"/>
  <c r="AG43" i="9"/>
  <c r="AX43" i="9"/>
  <c r="BO43" i="9"/>
  <c r="CF43" i="9"/>
  <c r="AO44" i="9"/>
  <c r="BK44" i="9"/>
  <c r="CF44" i="9"/>
  <c r="AJ47" i="9"/>
  <c r="BJ47" i="9"/>
  <c r="CG47" i="9"/>
  <c r="BJ50" i="9"/>
  <c r="CF50" i="9"/>
  <c r="AP51" i="9"/>
  <c r="CK51" i="9"/>
  <c r="BF53" i="9"/>
  <c r="BW53" i="9"/>
  <c r="BC54" i="9"/>
  <c r="CB54" i="9"/>
  <c r="AC56" i="9"/>
  <c r="BH56" i="9"/>
  <c r="CJ58" i="9"/>
  <c r="AU59" i="9"/>
  <c r="BR59" i="9"/>
  <c r="AM60" i="9"/>
  <c r="AI61" i="9"/>
  <c r="CA61" i="9"/>
  <c r="BB66" i="9"/>
  <c r="AB47" i="9"/>
  <c r="BX40" i="9"/>
  <c r="AQ43" i="9"/>
  <c r="AG40" i="9"/>
  <c r="AX40" i="9"/>
  <c r="BO40" i="9"/>
  <c r="CF40" i="9"/>
  <c r="AH43" i="9"/>
  <c r="AY43" i="9"/>
  <c r="BP43" i="9"/>
  <c r="CH43" i="9"/>
  <c r="AP44" i="9"/>
  <c r="BL44" i="9"/>
  <c r="CG44" i="9"/>
  <c r="AM47" i="9"/>
  <c r="BL47" i="9"/>
  <c r="CH47" i="9"/>
  <c r="AQ50" i="9"/>
  <c r="BL50" i="9"/>
  <c r="CG50" i="9"/>
  <c r="AW51" i="9"/>
  <c r="AP53" i="9"/>
  <c r="BG53" i="9"/>
  <c r="BX53" i="9"/>
  <c r="AB54" i="9"/>
  <c r="BD54" i="9"/>
  <c r="CH54" i="9"/>
  <c r="AG56" i="9"/>
  <c r="BI56" i="9"/>
  <c r="CK58" i="9"/>
  <c r="AV59" i="9"/>
  <c r="BT59" i="9"/>
  <c r="AN60" i="9"/>
  <c r="AJ61" i="9"/>
  <c r="CB61" i="9"/>
  <c r="BC66" i="9"/>
  <c r="AV47" i="9"/>
  <c r="BR51" i="9"/>
  <c r="BX43" i="9"/>
  <c r="BS51" i="9"/>
  <c r="AP40" i="9"/>
  <c r="BH43" i="9"/>
  <c r="AC47" i="9"/>
  <c r="BT51" i="9"/>
  <c r="AH40" i="9"/>
  <c r="BP40" i="9"/>
  <c r="AI43" i="9"/>
  <c r="AZ43" i="9"/>
  <c r="BR43" i="9"/>
  <c r="CI43" i="9"/>
  <c r="AQ44" i="9"/>
  <c r="BM44" i="9"/>
  <c r="CH44" i="9"/>
  <c r="AQ47" i="9"/>
  <c r="BM47" i="9"/>
  <c r="CI47" i="9"/>
  <c r="AX51" i="9"/>
  <c r="AH56" i="9"/>
  <c r="BK56" i="9"/>
  <c r="BG66" i="9"/>
  <c r="AB44" i="9"/>
  <c r="BG40" i="9"/>
  <c r="AY40" i="9"/>
  <c r="V28" i="9"/>
  <c r="W28" i="9" s="1"/>
  <c r="X28" i="9" s="1"/>
  <c r="Y28" i="9" s="1"/>
  <c r="Z28" i="9" s="1"/>
  <c r="AA28" i="9" s="1"/>
  <c r="AD28" i="9" s="1"/>
  <c r="AZ40" i="9"/>
  <c r="BR40" i="9"/>
  <c r="CI40" i="9"/>
  <c r="BB43" i="9"/>
  <c r="BS43" i="9"/>
  <c r="CJ43" i="9"/>
  <c r="AR44" i="9"/>
  <c r="BN44" i="9"/>
  <c r="BN47" i="9"/>
  <c r="CK47" i="9"/>
  <c r="AS50" i="9"/>
  <c r="BO50" i="9"/>
  <c r="CI50" i="9"/>
  <c r="AZ51" i="9"/>
  <c r="AD52" i="9"/>
  <c r="BI53" i="9"/>
  <c r="BZ53" i="9"/>
  <c r="AI56" i="9"/>
  <c r="BT56" i="9"/>
  <c r="AB58" i="9"/>
  <c r="AX59" i="9"/>
  <c r="BY59" i="9"/>
  <c r="BL66" i="9"/>
  <c r="V43" i="9"/>
  <c r="W43" i="9" s="1"/>
  <c r="X43" i="9" s="1"/>
  <c r="Y43" i="9" s="1"/>
  <c r="Z43" i="9" s="1"/>
  <c r="AA43" i="9" s="1"/>
  <c r="BT47" i="9"/>
  <c r="BY43" i="9"/>
  <c r="CH40" i="9"/>
  <c r="AI40" i="9"/>
  <c r="AJ43" i="9"/>
  <c r="AR47" i="9"/>
  <c r="CL38" i="9"/>
  <c r="AJ40" i="9"/>
  <c r="BB40" i="9"/>
  <c r="BS40" i="9"/>
  <c r="CJ40" i="9"/>
  <c r="AL43" i="9"/>
  <c r="BC43" i="9"/>
  <c r="BT43" i="9"/>
  <c r="CK43" i="9"/>
  <c r="AS44" i="9"/>
  <c r="BO44" i="9"/>
  <c r="AE46" i="9"/>
  <c r="AY46" i="9"/>
  <c r="BR46" i="9"/>
  <c r="CK46" i="9"/>
  <c r="AS47" i="9"/>
  <c r="BO47" i="9"/>
  <c r="CL47" i="9"/>
  <c r="AU50" i="9"/>
  <c r="BP50" i="9"/>
  <c r="CJ50" i="9"/>
  <c r="BA51" i="9"/>
  <c r="AE52" i="9"/>
  <c r="AB53" i="9"/>
  <c r="AS53" i="9"/>
  <c r="BJ53" i="9"/>
  <c r="CA53" i="9"/>
  <c r="AF54" i="9"/>
  <c r="BG54" i="9"/>
  <c r="AJ56" i="9"/>
  <c r="BW56" i="9"/>
  <c r="AG58" i="9"/>
  <c r="AB59" i="9"/>
  <c r="AY59" i="9"/>
  <c r="BZ59" i="9"/>
  <c r="BN60" i="9"/>
  <c r="AU61" i="9"/>
  <c r="CL61" i="9"/>
  <c r="BB63" i="9"/>
  <c r="AH64" i="9"/>
  <c r="BI64" i="9"/>
  <c r="BC65" i="9"/>
  <c r="CA65" i="9"/>
  <c r="BM66" i="9"/>
  <c r="AL40" i="9"/>
  <c r="BC40" i="9"/>
  <c r="BT40" i="9"/>
  <c r="CK40" i="9"/>
  <c r="AM43" i="9"/>
  <c r="BD43" i="9"/>
  <c r="BU43" i="9"/>
  <c r="CL43" i="9"/>
  <c r="AU44" i="9"/>
  <c r="BP44" i="9"/>
  <c r="AG46" i="9"/>
  <c r="AZ46" i="9"/>
  <c r="BS46" i="9"/>
  <c r="AT47" i="9"/>
  <c r="BP47" i="9"/>
  <c r="AV50" i="9"/>
  <c r="BQ50" i="9"/>
  <c r="AF52" i="9"/>
  <c r="AC53" i="9"/>
  <c r="AT53" i="9"/>
  <c r="BK53" i="9"/>
  <c r="CB53" i="9"/>
  <c r="AG54" i="9"/>
  <c r="BM54" i="9"/>
  <c r="AK56" i="9"/>
  <c r="AI58" i="9"/>
  <c r="AC59" i="9"/>
  <c r="AZ59" i="9"/>
  <c r="CA59" i="9"/>
  <c r="AI64" i="9"/>
  <c r="BK64" i="9"/>
  <c r="AB65" i="9"/>
  <c r="BD65" i="9"/>
  <c r="CD65" i="9"/>
  <c r="BO66" i="9"/>
  <c r="BY36" i="9"/>
  <c r="BX36" i="9"/>
  <c r="BZ36" i="9" s="1"/>
  <c r="O36" i="9" s="1"/>
  <c r="AL36" i="9"/>
  <c r="AK36" i="9" s="1"/>
  <c r="AJ36" i="9"/>
  <c r="AM36" i="9" s="1"/>
  <c r="G36" i="9" s="1"/>
  <c r="CE36" i="9"/>
  <c r="CD36" i="9"/>
  <c r="CF36" i="9" s="1"/>
  <c r="Q36" i="9" s="1"/>
  <c r="CJ36" i="9"/>
  <c r="CK36" i="9" s="1"/>
  <c r="AH36" i="9"/>
  <c r="BD36" i="9"/>
  <c r="CB36" i="9"/>
  <c r="BU36" i="9"/>
  <c r="AX9" i="9"/>
  <c r="AU9" i="9" s="1"/>
  <c r="BV9" i="9"/>
  <c r="BX9" i="9"/>
  <c r="BS9" i="9"/>
  <c r="AL9" i="9"/>
  <c r="AK9" i="9" s="1"/>
  <c r="AJ9" i="9"/>
  <c r="AM9" i="9" s="1"/>
  <c r="G9" i="9" s="1"/>
  <c r="CE9" i="9"/>
  <c r="AH9" i="9"/>
  <c r="BR9" i="9"/>
  <c r="BD9" i="9"/>
  <c r="AG9" i="9"/>
  <c r="BJ9" i="9"/>
  <c r="BH9" i="9" s="1"/>
  <c r="V12" i="9"/>
  <c r="W12" i="9" s="1"/>
  <c r="X12" i="9" s="1"/>
  <c r="Y12" i="9" s="1"/>
  <c r="Z12" i="9" s="1"/>
  <c r="AA12" i="9" s="1"/>
  <c r="AJ12" i="9" s="1"/>
  <c r="CJ16" i="9"/>
  <c r="CK16" i="9" s="1"/>
  <c r="AG16" i="9"/>
  <c r="BO16" i="9"/>
  <c r="AE16" i="9"/>
  <c r="CE16" i="9"/>
  <c r="CD16" i="9"/>
  <c r="V16" i="9"/>
  <c r="W16" i="9" s="1"/>
  <c r="X16" i="9" s="1"/>
  <c r="Y16" i="9" s="1"/>
  <c r="Z16" i="9" s="1"/>
  <c r="AA16" i="9" s="1"/>
  <c r="BR16" i="9" s="1"/>
  <c r="AD16" i="9"/>
  <c r="AC16" i="9" s="1"/>
  <c r="BX39" i="9"/>
  <c r="BH39" i="9"/>
  <c r="AR39" i="9"/>
  <c r="AB39" i="9"/>
  <c r="BW39" i="9"/>
  <c r="BG39" i="9"/>
  <c r="AQ39" i="9"/>
  <c r="CL39" i="9"/>
  <c r="BV39" i="9"/>
  <c r="BF39" i="9"/>
  <c r="AP39" i="9"/>
  <c r="CK39" i="9"/>
  <c r="BU39" i="9"/>
  <c r="BE39" i="9"/>
  <c r="AO39" i="9"/>
  <c r="CI39" i="9"/>
  <c r="BO39" i="9"/>
  <c r="AU39" i="9"/>
  <c r="CH39" i="9"/>
  <c r="BN39" i="9"/>
  <c r="AT39" i="9"/>
  <c r="V39" i="9"/>
  <c r="W39" i="9" s="1"/>
  <c r="X39" i="9" s="1"/>
  <c r="Y39" i="9" s="1"/>
  <c r="Z39" i="9" s="1"/>
  <c r="AA39" i="9" s="1"/>
  <c r="CF39" i="9"/>
  <c r="BL39" i="9"/>
  <c r="AN39" i="9"/>
  <c r="BR39" i="9"/>
  <c r="AS39" i="9"/>
  <c r="BQ39" i="9"/>
  <c r="AM39" i="9"/>
  <c r="BM39" i="9"/>
  <c r="AK39" i="9"/>
  <c r="CJ39" i="9"/>
  <c r="BJ39" i="9"/>
  <c r="AI39" i="9"/>
  <c r="CB39" i="9"/>
  <c r="AW39" i="9"/>
  <c r="AL39" i="9"/>
  <c r="CA39" i="9"/>
  <c r="AV39" i="9"/>
  <c r="BZ39" i="9"/>
  <c r="BY39" i="9"/>
  <c r="AJ39" i="9"/>
  <c r="BT39" i="9"/>
  <c r="AH39" i="9"/>
  <c r="BS39" i="9"/>
  <c r="AG39" i="9"/>
  <c r="BI39" i="9"/>
  <c r="BB39" i="9"/>
  <c r="BA39" i="9"/>
  <c r="AY39" i="9"/>
  <c r="AX39" i="9"/>
  <c r="AE39" i="9"/>
  <c r="AD39" i="9"/>
  <c r="AC39" i="9"/>
  <c r="CG39" i="9"/>
  <c r="BK39" i="9"/>
  <c r="BD39" i="9"/>
  <c r="CE39" i="9"/>
  <c r="CC39" i="9"/>
  <c r="CD39" i="9"/>
  <c r="BP39" i="9"/>
  <c r="BC39" i="9"/>
  <c r="AZ39" i="9"/>
  <c r="AJ15" i="9"/>
  <c r="BU15" i="9"/>
  <c r="BS15" i="9"/>
  <c r="BY15" i="9"/>
  <c r="BR15" i="9"/>
  <c r="BJ15" i="9"/>
  <c r="BH15" i="9" s="1"/>
  <c r="V22" i="9"/>
  <c r="W22" i="9" s="1"/>
  <c r="X22" i="9" s="1"/>
  <c r="Y22" i="9" s="1"/>
  <c r="Z22" i="9" s="1"/>
  <c r="AA22" i="9" s="1"/>
  <c r="BD22" i="9" s="1"/>
  <c r="BC22" i="9" s="1"/>
  <c r="BJ22" i="9"/>
  <c r="BH22" i="9" s="1"/>
  <c r="AF39" i="9"/>
  <c r="AJ23" i="9"/>
  <c r="AI48" i="9"/>
  <c r="V11" i="9"/>
  <c r="W11" i="9" s="1"/>
  <c r="X11" i="9" s="1"/>
  <c r="Y11" i="9" s="1"/>
  <c r="Z11" i="9" s="1"/>
  <c r="AA11" i="9" s="1"/>
  <c r="CJ11" i="9" s="1"/>
  <c r="CH11" i="9" s="1"/>
  <c r="CD15" i="9"/>
  <c r="AX15" i="9"/>
  <c r="AY15" i="9" s="1"/>
  <c r="AH15" i="9"/>
  <c r="BX15" i="9"/>
  <c r="BO15" i="9"/>
  <c r="BN15" i="9" s="1"/>
  <c r="AD15" i="9"/>
  <c r="AB15" i="9" s="1"/>
  <c r="AC15" i="9"/>
  <c r="CA15" i="9"/>
  <c r="CC15" i="9" s="1"/>
  <c r="P15" i="9" s="1"/>
  <c r="BA15" i="9"/>
  <c r="BB15" i="9" s="1"/>
  <c r="I15" i="9" s="1"/>
  <c r="BV15" i="9"/>
  <c r="AL15" i="9"/>
  <c r="AK15" i="9" s="1"/>
  <c r="BD15" i="9"/>
  <c r="CJ15" i="9"/>
  <c r="CK15" i="9" s="1"/>
  <c r="AG15" i="9"/>
  <c r="AI15" i="9" s="1"/>
  <c r="F15" i="9" s="1"/>
  <c r="CB15" i="9"/>
  <c r="CE15" i="9"/>
  <c r="BU27" i="9"/>
  <c r="V27" i="9"/>
  <c r="W27" i="9" s="1"/>
  <c r="X27" i="9" s="1"/>
  <c r="Y27" i="9" s="1"/>
  <c r="Z27" i="9" s="1"/>
  <c r="AA27" i="9" s="1"/>
  <c r="AG27" i="9" s="1"/>
  <c r="AX27" i="9"/>
  <c r="AP27" i="9" s="1"/>
  <c r="BD27" i="9"/>
  <c r="BE27" i="9" s="1"/>
  <c r="AX23" i="9"/>
  <c r="AV23" i="9" s="1"/>
  <c r="CB23" i="9"/>
  <c r="AL23" i="9"/>
  <c r="AK23" i="9" s="1"/>
  <c r="CE23" i="9"/>
  <c r="CA23" i="9"/>
  <c r="V35" i="9"/>
  <c r="W35" i="9" s="1"/>
  <c r="X35" i="9" s="1"/>
  <c r="Y35" i="9" s="1"/>
  <c r="Z35" i="9" s="1"/>
  <c r="AA35" i="9" s="1"/>
  <c r="AG35" i="9" s="1"/>
  <c r="CJ48" i="9"/>
  <c r="BT48" i="9"/>
  <c r="BD48" i="9"/>
  <c r="AN48" i="9"/>
  <c r="CK48" i="9"/>
  <c r="BS48" i="9"/>
  <c r="BB48" i="9"/>
  <c r="AK48" i="9"/>
  <c r="CG48" i="9"/>
  <c r="BP48" i="9"/>
  <c r="AY48" i="9"/>
  <c r="AH48" i="9"/>
  <c r="CF48" i="9"/>
  <c r="BM48" i="9"/>
  <c r="AT48" i="9"/>
  <c r="CE48" i="9"/>
  <c r="BL48" i="9"/>
  <c r="AS48" i="9"/>
  <c r="CD48" i="9"/>
  <c r="BK48" i="9"/>
  <c r="AR48" i="9"/>
  <c r="CC48" i="9"/>
  <c r="BJ48" i="9"/>
  <c r="AQ48" i="9"/>
  <c r="CA48" i="9"/>
  <c r="BC48" i="9"/>
  <c r="AD48" i="9"/>
  <c r="BZ48" i="9"/>
  <c r="BA48" i="9"/>
  <c r="AC48" i="9"/>
  <c r="BX48" i="9"/>
  <c r="AX48" i="9"/>
  <c r="V48" i="9"/>
  <c r="W48" i="9" s="1"/>
  <c r="X48" i="9" s="1"/>
  <c r="Y48" i="9" s="1"/>
  <c r="Z48" i="9" s="1"/>
  <c r="AA48" i="9" s="1"/>
  <c r="CI48" i="9"/>
  <c r="BG48" i="9"/>
  <c r="AG48" i="9"/>
  <c r="CB48" i="9"/>
  <c r="AU48" i="9"/>
  <c r="BY48" i="9"/>
  <c r="AP48" i="9"/>
  <c r="BV48" i="9"/>
  <c r="AM48" i="9"/>
  <c r="BR48" i="9"/>
  <c r="AJ48" i="9"/>
  <c r="BO48" i="9"/>
  <c r="BI48" i="9"/>
  <c r="BN48" i="9"/>
  <c r="BH48" i="9"/>
  <c r="BF48" i="9"/>
  <c r="BE48" i="9"/>
  <c r="AZ48" i="9"/>
  <c r="CL48" i="9"/>
  <c r="BU48" i="9"/>
  <c r="BQ48" i="9"/>
  <c r="CH48" i="9"/>
  <c r="AW48" i="9"/>
  <c r="BW48" i="9"/>
  <c r="AV48" i="9"/>
  <c r="AB48" i="9"/>
  <c r="AE48" i="9"/>
  <c r="AF48" i="9"/>
  <c r="AO48" i="9"/>
  <c r="V13" i="9"/>
  <c r="W13" i="9" s="1"/>
  <c r="X13" i="9" s="1"/>
  <c r="Y13" i="9" s="1"/>
  <c r="Z13" i="9" s="1"/>
  <c r="AA13" i="9" s="1"/>
  <c r="BA13" i="9" s="1"/>
  <c r="BB13" i="9" s="1"/>
  <c r="I13" i="9" s="1"/>
  <c r="BX23" i="9"/>
  <c r="BJ23" i="9"/>
  <c r="BH23" i="9" s="1"/>
  <c r="CD32" i="9"/>
  <c r="AX32" i="9"/>
  <c r="AV32" i="9" s="1"/>
  <c r="BJ32" i="9"/>
  <c r="BI32" i="9" s="1"/>
  <c r="AD32" i="9"/>
  <c r="AB32" i="9" s="1"/>
  <c r="BO32" i="9"/>
  <c r="BN32" i="9" s="1"/>
  <c r="V14" i="9"/>
  <c r="W14" i="9" s="1"/>
  <c r="X14" i="9" s="1"/>
  <c r="Y14" i="9" s="1"/>
  <c r="Z14" i="9" s="1"/>
  <c r="AA14" i="9" s="1"/>
  <c r="CE14" i="9" s="1"/>
  <c r="BU14" i="9"/>
  <c r="V7" i="9"/>
  <c r="W7" i="9" s="1"/>
  <c r="X7" i="9" s="1"/>
  <c r="Y7" i="9" s="1"/>
  <c r="Z7" i="9" s="1"/>
  <c r="AA7" i="9" s="1"/>
  <c r="BJ7" i="9" s="1"/>
  <c r="BA7" i="9"/>
  <c r="BB7" i="9" s="1"/>
  <c r="I7" i="9" s="1"/>
  <c r="CD7" i="9"/>
  <c r="V8" i="9"/>
  <c r="W8" i="9" s="1"/>
  <c r="X8" i="9" s="1"/>
  <c r="Y8" i="9" s="1"/>
  <c r="Z8" i="9" s="1"/>
  <c r="AA8" i="9" s="1"/>
  <c r="AJ8" i="9"/>
  <c r="BO8" i="9"/>
  <c r="BN8" i="9" s="1"/>
  <c r="V19" i="9"/>
  <c r="W19" i="9" s="1"/>
  <c r="X19" i="9" s="1"/>
  <c r="Y19" i="9" s="1"/>
  <c r="Z19" i="9" s="1"/>
  <c r="AA19" i="9" s="1"/>
  <c r="CJ19" i="9" s="1"/>
  <c r="AJ19" i="9"/>
  <c r="BV19" i="9"/>
  <c r="BA19" i="9"/>
  <c r="BB19" i="9" s="1"/>
  <c r="I19" i="9" s="1"/>
  <c r="CB9" i="9"/>
  <c r="CA9" i="9"/>
  <c r="BY9" i="9"/>
  <c r="BU9" i="9"/>
  <c r="AD9" i="9"/>
  <c r="AB9" i="9" s="1"/>
  <c r="CJ9" i="9"/>
  <c r="BO9" i="9"/>
  <c r="BN9" i="9" s="1"/>
  <c r="BA9" i="9"/>
  <c r="BB9" i="9" s="1"/>
  <c r="I9" i="9" s="1"/>
  <c r="CD9" i="9"/>
  <c r="V10" i="9"/>
  <c r="W10" i="9" s="1"/>
  <c r="X10" i="9" s="1"/>
  <c r="Y10" i="9" s="1"/>
  <c r="Z10" i="9" s="1"/>
  <c r="AA10" i="9" s="1"/>
  <c r="AL10" i="9" s="1"/>
  <c r="AK10" i="9" s="1"/>
  <c r="CK57" i="9"/>
  <c r="BU57" i="9"/>
  <c r="BE57" i="9"/>
  <c r="AO57" i="9"/>
  <c r="CB57" i="9"/>
  <c r="BK57" i="9"/>
  <c r="AT57" i="9"/>
  <c r="AC57" i="9"/>
  <c r="CA57" i="9"/>
  <c r="BJ57" i="9"/>
  <c r="AS57" i="9"/>
  <c r="AB57" i="9"/>
  <c r="BY57" i="9"/>
  <c r="BH57" i="9"/>
  <c r="AQ57" i="9"/>
  <c r="CE57" i="9"/>
  <c r="BI57" i="9"/>
  <c r="AM57" i="9"/>
  <c r="CD57" i="9"/>
  <c r="BG57" i="9"/>
  <c r="AL57" i="9"/>
  <c r="CC57" i="9"/>
  <c r="BF57" i="9"/>
  <c r="AK57" i="9"/>
  <c r="BZ57" i="9"/>
  <c r="BD57" i="9"/>
  <c r="AJ57" i="9"/>
  <c r="CI57" i="9"/>
  <c r="BC57" i="9"/>
  <c r="AE57" i="9"/>
  <c r="CH57" i="9"/>
  <c r="BB57" i="9"/>
  <c r="AD57" i="9"/>
  <c r="CF57" i="9"/>
  <c r="AZ57" i="9"/>
  <c r="BN57" i="9"/>
  <c r="AH57" i="9"/>
  <c r="CL57" i="9"/>
  <c r="AX57" i="9"/>
  <c r="CJ57" i="9"/>
  <c r="AW57" i="9"/>
  <c r="BX57" i="9"/>
  <c r="AU57" i="9"/>
  <c r="BV57" i="9"/>
  <c r="AP57" i="9"/>
  <c r="AV57" i="9"/>
  <c r="AR57" i="9"/>
  <c r="AN57" i="9"/>
  <c r="AI57" i="9"/>
  <c r="CG57" i="9"/>
  <c r="AG57" i="9"/>
  <c r="BW57" i="9"/>
  <c r="AF57" i="9"/>
  <c r="BT57" i="9"/>
  <c r="BQ57" i="9"/>
  <c r="BP57" i="9"/>
  <c r="V18" i="9"/>
  <c r="W18" i="9" s="1"/>
  <c r="X18" i="9" s="1"/>
  <c r="Y18" i="9" s="1"/>
  <c r="Z18" i="9" s="1"/>
  <c r="AA18" i="9" s="1"/>
  <c r="BY18" i="9" s="1"/>
  <c r="CI45" i="9"/>
  <c r="BS45" i="9"/>
  <c r="BC45" i="9"/>
  <c r="AM45" i="9"/>
  <c r="CF45" i="9"/>
  <c r="BP45" i="9"/>
  <c r="AZ45" i="9"/>
  <c r="AJ45" i="9"/>
  <c r="BV45" i="9"/>
  <c r="BD45" i="9"/>
  <c r="AK45" i="9"/>
  <c r="BU45" i="9"/>
  <c r="BB45" i="9"/>
  <c r="AI45" i="9"/>
  <c r="CL45" i="9"/>
  <c r="BT45" i="9"/>
  <c r="BA45" i="9"/>
  <c r="AH45" i="9"/>
  <c r="CK45" i="9"/>
  <c r="BR45" i="9"/>
  <c r="AY45" i="9"/>
  <c r="AG45" i="9"/>
  <c r="BQ45" i="9"/>
  <c r="AT45" i="9"/>
  <c r="BO45" i="9"/>
  <c r="AS45" i="9"/>
  <c r="V45" i="9"/>
  <c r="W45" i="9" s="1"/>
  <c r="X45" i="9" s="1"/>
  <c r="Y45" i="9" s="1"/>
  <c r="Z45" i="9" s="1"/>
  <c r="AA45" i="9" s="1"/>
  <c r="BM45" i="9"/>
  <c r="AQ45" i="9"/>
  <c r="BZ45" i="9"/>
  <c r="AU45" i="9"/>
  <c r="BY45" i="9"/>
  <c r="AR45" i="9"/>
  <c r="BW45" i="9"/>
  <c r="AO45" i="9"/>
  <c r="BL45" i="9"/>
  <c r="AL45" i="9"/>
  <c r="CC45" i="9"/>
  <c r="AN45" i="9"/>
  <c r="AE45" i="9"/>
  <c r="CB45" i="9"/>
  <c r="AF45" i="9"/>
  <c r="CA45" i="9"/>
  <c r="BX45" i="9"/>
  <c r="AD45" i="9"/>
  <c r="BN45" i="9"/>
  <c r="AC45" i="9"/>
  <c r="BK45" i="9"/>
  <c r="AB45" i="9"/>
  <c r="BJ45" i="9"/>
  <c r="BF45" i="9"/>
  <c r="AW45" i="9"/>
  <c r="AV45" i="9"/>
  <c r="CH62" i="9"/>
  <c r="BR62" i="9"/>
  <c r="BB62" i="9"/>
  <c r="AL62" i="9"/>
  <c r="V62" i="9"/>
  <c r="W62" i="9" s="1"/>
  <c r="X62" i="9" s="1"/>
  <c r="Y62" i="9" s="1"/>
  <c r="Z62" i="9" s="1"/>
  <c r="AA62" i="9" s="1"/>
  <c r="CD62" i="9"/>
  <c r="BM62" i="9"/>
  <c r="AV62" i="9"/>
  <c r="AE62" i="9"/>
  <c r="CC62" i="9"/>
  <c r="BL62" i="9"/>
  <c r="AU62" i="9"/>
  <c r="AD62" i="9"/>
  <c r="CA62" i="9"/>
  <c r="BJ62" i="9"/>
  <c r="AS62" i="9"/>
  <c r="AB62" i="9"/>
  <c r="CB62" i="9"/>
  <c r="BG62" i="9"/>
  <c r="AM62" i="9"/>
  <c r="BZ62" i="9"/>
  <c r="BF62" i="9"/>
  <c r="AK62" i="9"/>
  <c r="BY62" i="9"/>
  <c r="BE62" i="9"/>
  <c r="AJ62" i="9"/>
  <c r="BX62" i="9"/>
  <c r="BD62" i="9"/>
  <c r="AI62" i="9"/>
  <c r="CG62" i="9"/>
  <c r="BA62" i="9"/>
  <c r="CF62" i="9"/>
  <c r="AZ62" i="9"/>
  <c r="BW62" i="9"/>
  <c r="AX62" i="9"/>
  <c r="CK62" i="9"/>
  <c r="BI62" i="9"/>
  <c r="AF62" i="9"/>
  <c r="BQ62" i="9"/>
  <c r="AG62" i="9"/>
  <c r="BP62" i="9"/>
  <c r="AC62" i="9"/>
  <c r="BN62" i="9"/>
  <c r="BH62" i="9"/>
  <c r="BK62" i="9"/>
  <c r="BC62" i="9"/>
  <c r="AY62" i="9"/>
  <c r="AW62" i="9"/>
  <c r="AT62" i="9"/>
  <c r="AR62" i="9"/>
  <c r="AQ62" i="9"/>
  <c r="BU62" i="9"/>
  <c r="BO62" i="9"/>
  <c r="AP62" i="9"/>
  <c r="V30" i="9"/>
  <c r="W30" i="9" s="1"/>
  <c r="X30" i="9" s="1"/>
  <c r="Y30" i="9" s="1"/>
  <c r="Z30" i="9" s="1"/>
  <c r="AA30" i="9" s="1"/>
  <c r="AL30" i="9" s="1"/>
  <c r="AK30" i="9" s="1"/>
  <c r="V17" i="9"/>
  <c r="W17" i="9" s="1"/>
  <c r="X17" i="9" s="1"/>
  <c r="Y17" i="9" s="1"/>
  <c r="Z17" i="9" s="1"/>
  <c r="AA17" i="9" s="1"/>
  <c r="BD17" i="9" s="1"/>
  <c r="V29" i="9"/>
  <c r="W29" i="9" s="1"/>
  <c r="X29" i="9" s="1"/>
  <c r="Y29" i="9" s="1"/>
  <c r="Z29" i="9" s="1"/>
  <c r="AA29" i="9" s="1"/>
  <c r="BO29" i="9" s="1"/>
  <c r="AJ29" i="9"/>
  <c r="BJ29" i="9"/>
  <c r="BI29" i="9"/>
  <c r="V33" i="9"/>
  <c r="W33" i="9" s="1"/>
  <c r="X33" i="9" s="1"/>
  <c r="Y33" i="9" s="1"/>
  <c r="Z33" i="9" s="1"/>
  <c r="AA33" i="9" s="1"/>
  <c r="BR33" i="9" s="1"/>
  <c r="V57" i="9"/>
  <c r="W57" i="9" s="1"/>
  <c r="X57" i="9" s="1"/>
  <c r="Y57" i="9" s="1"/>
  <c r="Z57" i="9" s="1"/>
  <c r="AA57" i="9" s="1"/>
  <c r="BY23" i="9"/>
  <c r="BV23" i="9"/>
  <c r="AG23" i="9"/>
  <c r="AD23" i="9"/>
  <c r="AB23" i="9" s="1"/>
  <c r="BU23" i="9"/>
  <c r="BA23" i="9"/>
  <c r="BB23" i="9" s="1"/>
  <c r="I23" i="9" s="1"/>
  <c r="AE23" i="9"/>
  <c r="BR23" i="9"/>
  <c r="BT23" i="9" s="1"/>
  <c r="M23" i="9" s="1"/>
  <c r="CJ23" i="9"/>
  <c r="BO23" i="9"/>
  <c r="BP23" i="9" s="1"/>
  <c r="CD23" i="9"/>
  <c r="BD23" i="9"/>
  <c r="BC23" i="9" s="1"/>
  <c r="AY57" i="9"/>
  <c r="AH62" i="9"/>
  <c r="AX45" i="9"/>
  <c r="CC49" i="9"/>
  <c r="BM49" i="9"/>
  <c r="AW49" i="9"/>
  <c r="AG49" i="9"/>
  <c r="CH49" i="9"/>
  <c r="BQ49" i="9"/>
  <c r="AZ49" i="9"/>
  <c r="AI49" i="9"/>
  <c r="CE49" i="9"/>
  <c r="BN49" i="9"/>
  <c r="AV49" i="9"/>
  <c r="AE49" i="9"/>
  <c r="BU49" i="9"/>
  <c r="BB49" i="9"/>
  <c r="AH49" i="9"/>
  <c r="BT49" i="9"/>
  <c r="BA49" i="9"/>
  <c r="AF49" i="9"/>
  <c r="CL49" i="9"/>
  <c r="BS49" i="9"/>
  <c r="AY49" i="9"/>
  <c r="AD49" i="9"/>
  <c r="CK49" i="9"/>
  <c r="BR49" i="9"/>
  <c r="AX49" i="9"/>
  <c r="AC49" i="9"/>
  <c r="CI49" i="9"/>
  <c r="BI49" i="9"/>
  <c r="AL49" i="9"/>
  <c r="CG49" i="9"/>
  <c r="BH49" i="9"/>
  <c r="AK49" i="9"/>
  <c r="CD49" i="9"/>
  <c r="BF49" i="9"/>
  <c r="AB49" i="9"/>
  <c r="BL49" i="9"/>
  <c r="AO49" i="9"/>
  <c r="BZ49" i="9"/>
  <c r="AR49" i="9"/>
  <c r="BY49" i="9"/>
  <c r="AQ49" i="9"/>
  <c r="BW49" i="9"/>
  <c r="AN49" i="9"/>
  <c r="BP49" i="9"/>
  <c r="AJ49" i="9"/>
  <c r="AS49" i="9"/>
  <c r="CF49" i="9"/>
  <c r="AM49" i="9"/>
  <c r="CJ49" i="9"/>
  <c r="AP49" i="9"/>
  <c r="CB49" i="9"/>
  <c r="CA49" i="9"/>
  <c r="BX49" i="9"/>
  <c r="BV49" i="9"/>
  <c r="BO49" i="9"/>
  <c r="BK49" i="9"/>
  <c r="CI55" i="9"/>
  <c r="BS55" i="9"/>
  <c r="BC55" i="9"/>
  <c r="AM55" i="9"/>
  <c r="CG55" i="9"/>
  <c r="BP55" i="9"/>
  <c r="AY55" i="9"/>
  <c r="AH55" i="9"/>
  <c r="CF55" i="9"/>
  <c r="BO55" i="9"/>
  <c r="AX55" i="9"/>
  <c r="AG55" i="9"/>
  <c r="CD55" i="9"/>
  <c r="BM55" i="9"/>
  <c r="AV55" i="9"/>
  <c r="AE55" i="9"/>
  <c r="BY55" i="9"/>
  <c r="BE55" i="9"/>
  <c r="AJ55" i="9"/>
  <c r="BX55" i="9"/>
  <c r="BD55" i="9"/>
  <c r="AI55" i="9"/>
  <c r="BW55" i="9"/>
  <c r="BB55" i="9"/>
  <c r="AF55" i="9"/>
  <c r="BV55" i="9"/>
  <c r="BA55" i="9"/>
  <c r="AD55" i="9"/>
  <c r="CK55" i="9"/>
  <c r="BI55" i="9"/>
  <c r="AC55" i="9"/>
  <c r="CJ55" i="9"/>
  <c r="BH55" i="9"/>
  <c r="AB55" i="9"/>
  <c r="CE55" i="9"/>
  <c r="BF55" i="9"/>
  <c r="BL55" i="9"/>
  <c r="AN55" i="9"/>
  <c r="CC55" i="9"/>
  <c r="AS55" i="9"/>
  <c r="CB55" i="9"/>
  <c r="AR55" i="9"/>
  <c r="BZ55" i="9"/>
  <c r="AP55" i="9"/>
  <c r="BT55" i="9"/>
  <c r="AL55" i="9"/>
  <c r="BN55" i="9"/>
  <c r="BK55" i="9"/>
  <c r="BJ55" i="9"/>
  <c r="BG55" i="9"/>
  <c r="AZ55" i="9"/>
  <c r="AW55" i="9"/>
  <c r="AU55" i="9"/>
  <c r="BR55" i="9"/>
  <c r="AQ55" i="9"/>
  <c r="AO55" i="9"/>
  <c r="BL57" i="9"/>
  <c r="AO62" i="9"/>
  <c r="AH23" i="9"/>
  <c r="BE45" i="9"/>
  <c r="V49" i="9"/>
  <c r="W49" i="9" s="1"/>
  <c r="X49" i="9" s="1"/>
  <c r="Y49" i="9" s="1"/>
  <c r="Z49" i="9" s="1"/>
  <c r="AA49" i="9" s="1"/>
  <c r="V55" i="9"/>
  <c r="W55" i="9" s="1"/>
  <c r="X55" i="9" s="1"/>
  <c r="Y55" i="9" s="1"/>
  <c r="Z55" i="9" s="1"/>
  <c r="AA55" i="9" s="1"/>
  <c r="BM57" i="9"/>
  <c r="BS62" i="9"/>
  <c r="V24" i="9"/>
  <c r="W24" i="9" s="1"/>
  <c r="X24" i="9" s="1"/>
  <c r="Y24" i="9" s="1"/>
  <c r="Z24" i="9" s="1"/>
  <c r="AA24" i="9" s="1"/>
  <c r="BR24" i="9" s="1"/>
  <c r="CE24" i="9"/>
  <c r="V20" i="9"/>
  <c r="W20" i="9" s="1"/>
  <c r="X20" i="9" s="1"/>
  <c r="Y20" i="9" s="1"/>
  <c r="Z20" i="9" s="1"/>
  <c r="AA20" i="9" s="1"/>
  <c r="AD20" i="9" s="1"/>
  <c r="V25" i="9"/>
  <c r="W25" i="9" s="1"/>
  <c r="X25" i="9" s="1"/>
  <c r="Y25" i="9" s="1"/>
  <c r="Z25" i="9" s="1"/>
  <c r="AA25" i="9" s="1"/>
  <c r="BV25" i="9" s="1"/>
  <c r="CE38" i="9"/>
  <c r="BO38" i="9"/>
  <c r="AY38" i="9"/>
  <c r="AI38" i="9"/>
  <c r="CD38" i="9"/>
  <c r="BN38" i="9"/>
  <c r="AX38" i="9"/>
  <c r="AH38" i="9"/>
  <c r="CC38" i="9"/>
  <c r="BM38" i="9"/>
  <c r="AW38" i="9"/>
  <c r="AG38" i="9"/>
  <c r="CB38" i="9"/>
  <c r="BL38" i="9"/>
  <c r="AV38" i="9"/>
  <c r="AF38" i="9"/>
  <c r="BV38" i="9"/>
  <c r="BB38" i="9"/>
  <c r="AD38" i="9"/>
  <c r="BU38" i="9"/>
  <c r="BA38" i="9"/>
  <c r="AC38" i="9"/>
  <c r="BS38" i="9"/>
  <c r="AU38" i="9"/>
  <c r="CK38" i="9"/>
  <c r="BJ38" i="9"/>
  <c r="AM38" i="9"/>
  <c r="CJ38" i="9"/>
  <c r="BI38" i="9"/>
  <c r="AL38" i="9"/>
  <c r="CH38" i="9"/>
  <c r="BG38" i="9"/>
  <c r="AJ38" i="9"/>
  <c r="CF38" i="9"/>
  <c r="BE38" i="9"/>
  <c r="AB38" i="9"/>
  <c r="CA38" i="9"/>
  <c r="AS38" i="9"/>
  <c r="BY38" i="9"/>
  <c r="BZ38" i="9"/>
  <c r="AR38" i="9"/>
  <c r="AQ38" i="9"/>
  <c r="BX38" i="9"/>
  <c r="AP38" i="9"/>
  <c r="BW38" i="9"/>
  <c r="AO38" i="9"/>
  <c r="BT38" i="9"/>
  <c r="AN38" i="9"/>
  <c r="BQ38" i="9"/>
  <c r="CF60" i="9"/>
  <c r="BP60" i="9"/>
  <c r="AZ60" i="9"/>
  <c r="AJ60" i="9"/>
  <c r="CJ60" i="9"/>
  <c r="BS60" i="9"/>
  <c r="BB60" i="9"/>
  <c r="AK60" i="9"/>
  <c r="CI60" i="9"/>
  <c r="BR60" i="9"/>
  <c r="BA60" i="9"/>
  <c r="AI60" i="9"/>
  <c r="CG60" i="9"/>
  <c r="BO60" i="9"/>
  <c r="AX60" i="9"/>
  <c r="AG60" i="9"/>
  <c r="BX60" i="9"/>
  <c r="BD60" i="9"/>
  <c r="AF60" i="9"/>
  <c r="BW60" i="9"/>
  <c r="BC60" i="9"/>
  <c r="AE60" i="9"/>
  <c r="BV60" i="9"/>
  <c r="AY60" i="9"/>
  <c r="AD60" i="9"/>
  <c r="BU60" i="9"/>
  <c r="AW60" i="9"/>
  <c r="AC60" i="9"/>
  <c r="CE60" i="9"/>
  <c r="BG60" i="9"/>
  <c r="CD60" i="9"/>
  <c r="BF60" i="9"/>
  <c r="CB60" i="9"/>
  <c r="AV60" i="9"/>
  <c r="CL60" i="9"/>
  <c r="BJ60" i="9"/>
  <c r="AL60" i="9"/>
  <c r="BK60" i="9"/>
  <c r="BI60" i="9"/>
  <c r="V60" i="9"/>
  <c r="W60" i="9" s="1"/>
  <c r="X60" i="9" s="1"/>
  <c r="Y60" i="9" s="1"/>
  <c r="Z60" i="9" s="1"/>
  <c r="AA60" i="9" s="1"/>
  <c r="BE60" i="9"/>
  <c r="CK60" i="9"/>
  <c r="AT60" i="9"/>
  <c r="BM60" i="9"/>
  <c r="BL60" i="9"/>
  <c r="BH60" i="9"/>
  <c r="AU60" i="9"/>
  <c r="AS60" i="9"/>
  <c r="AR60" i="9"/>
  <c r="AQ60" i="9"/>
  <c r="BX52" i="9"/>
  <c r="BH52" i="9"/>
  <c r="AR52" i="9"/>
  <c r="AB52" i="9"/>
  <c r="BZ52" i="9"/>
  <c r="BI52" i="9"/>
  <c r="AQ52" i="9"/>
  <c r="BY52" i="9"/>
  <c r="BG52" i="9"/>
  <c r="AP52" i="9"/>
  <c r="BV52" i="9"/>
  <c r="BE52" i="9"/>
  <c r="AN52" i="9"/>
  <c r="CB52" i="9"/>
  <c r="BD52" i="9"/>
  <c r="AJ52" i="9"/>
  <c r="CA52" i="9"/>
  <c r="BC52" i="9"/>
  <c r="AI52" i="9"/>
  <c r="BW52" i="9"/>
  <c r="BB52" i="9"/>
  <c r="AH52" i="9"/>
  <c r="BU52" i="9"/>
  <c r="BA52" i="9"/>
  <c r="AG52" i="9"/>
  <c r="BP52" i="9"/>
  <c r="AO52" i="9"/>
  <c r="BO52" i="9"/>
  <c r="AM52" i="9"/>
  <c r="CK52" i="9"/>
  <c r="BM52" i="9"/>
  <c r="AK52" i="9"/>
  <c r="BS52" i="9"/>
  <c r="AU52" i="9"/>
  <c r="BN52" i="9"/>
  <c r="AC52" i="9"/>
  <c r="BL52" i="9"/>
  <c r="BJ52" i="9"/>
  <c r="V52" i="9"/>
  <c r="W52" i="9" s="1"/>
  <c r="X52" i="9" s="1"/>
  <c r="Y52" i="9" s="1"/>
  <c r="Z52" i="9" s="1"/>
  <c r="AA52" i="9" s="1"/>
  <c r="CJ52" i="9"/>
  <c r="AZ52" i="9"/>
  <c r="BQ52" i="9"/>
  <c r="BF52" i="9"/>
  <c r="BK52" i="9"/>
  <c r="AY52" i="9"/>
  <c r="AX52" i="9"/>
  <c r="AW52" i="9"/>
  <c r="CL52" i="9"/>
  <c r="AV52" i="9"/>
  <c r="CI52" i="9"/>
  <c r="BX42" i="9"/>
  <c r="BH42" i="9"/>
  <c r="AR42" i="9"/>
  <c r="AB42" i="9"/>
  <c r="CB42" i="9"/>
  <c r="BK42" i="9"/>
  <c r="AT42" i="9"/>
  <c r="AC42" i="9"/>
  <c r="CA42" i="9"/>
  <c r="BJ42" i="9"/>
  <c r="AS42" i="9"/>
  <c r="BZ42" i="9"/>
  <c r="BI42" i="9"/>
  <c r="AQ42" i="9"/>
  <c r="BY42" i="9"/>
  <c r="BG42" i="9"/>
  <c r="AP42" i="9"/>
  <c r="CC42" i="9"/>
  <c r="BC42" i="9"/>
  <c r="AH42" i="9"/>
  <c r="BW42" i="9"/>
  <c r="BB42" i="9"/>
  <c r="AG42" i="9"/>
  <c r="BU42" i="9"/>
  <c r="AZ42" i="9"/>
  <c r="AE42" i="9"/>
  <c r="CK42" i="9"/>
  <c r="BM42" i="9"/>
  <c r="AJ42" i="9"/>
  <c r="CJ42" i="9"/>
  <c r="BL42" i="9"/>
  <c r="AI42" i="9"/>
  <c r="CH42" i="9"/>
  <c r="BE42" i="9"/>
  <c r="AD42" i="9"/>
  <c r="CF42" i="9"/>
  <c r="BA42" i="9"/>
  <c r="BN42" i="9"/>
  <c r="BY32" i="9"/>
  <c r="CJ32" i="9"/>
  <c r="BS32" i="9"/>
  <c r="BR32" i="9"/>
  <c r="BA32" i="9"/>
  <c r="BB32" i="9" s="1"/>
  <c r="I32" i="9" s="1"/>
  <c r="AJ32" i="9"/>
  <c r="AH32" i="9"/>
  <c r="CB32" i="9"/>
  <c r="BG32" i="9"/>
  <c r="CA32" i="9"/>
  <c r="AL32" i="9"/>
  <c r="AK32" i="9" s="1"/>
  <c r="AM32" i="9" s="1"/>
  <c r="G32" i="9" s="1"/>
  <c r="BX32" i="9"/>
  <c r="BD32" i="9"/>
  <c r="BE32" i="9" s="1"/>
  <c r="AG32" i="9"/>
  <c r="BV32" i="9"/>
  <c r="BU32" i="9"/>
  <c r="BW32" i="9" s="1"/>
  <c r="N32" i="9" s="1"/>
  <c r="V42" i="9"/>
  <c r="W42" i="9" s="1"/>
  <c r="X42" i="9" s="1"/>
  <c r="Y42" i="9" s="1"/>
  <c r="Z42" i="9" s="1"/>
  <c r="AA42" i="9" s="1"/>
  <c r="BO42" i="9"/>
  <c r="BI58" i="9"/>
  <c r="CA63" i="9"/>
  <c r="BK63" i="9"/>
  <c r="AU63" i="9"/>
  <c r="AE63" i="9"/>
  <c r="BZ63" i="9"/>
  <c r="BJ63" i="9"/>
  <c r="CD63" i="9"/>
  <c r="BL63" i="9"/>
  <c r="AS63" i="9"/>
  <c r="AB63" i="9"/>
  <c r="CC63" i="9"/>
  <c r="BI63" i="9"/>
  <c r="AR63" i="9"/>
  <c r="BY63" i="9"/>
  <c r="BG63" i="9"/>
  <c r="AP63" i="9"/>
  <c r="BU63" i="9"/>
  <c r="AZ63" i="9"/>
  <c r="AF63" i="9"/>
  <c r="BT63" i="9"/>
  <c r="AY63" i="9"/>
  <c r="AD63" i="9"/>
  <c r="BS63" i="9"/>
  <c r="AX63" i="9"/>
  <c r="AC63" i="9"/>
  <c r="BR63" i="9"/>
  <c r="AW63" i="9"/>
  <c r="BP63" i="9"/>
  <c r="AM63" i="9"/>
  <c r="BO63" i="9"/>
  <c r="AL63" i="9"/>
  <c r="CL63" i="9"/>
  <c r="BM63" i="9"/>
  <c r="AJ63" i="9"/>
  <c r="BW63" i="9"/>
  <c r="AQ63" i="9"/>
  <c r="BX63" i="9"/>
  <c r="AI63" i="9"/>
  <c r="BV63" i="9"/>
  <c r="AH63" i="9"/>
  <c r="BN63" i="9"/>
  <c r="BF63" i="9"/>
  <c r="V63" i="9"/>
  <c r="W63" i="9" s="1"/>
  <c r="X63" i="9" s="1"/>
  <c r="Y63" i="9" s="1"/>
  <c r="Z63" i="9" s="1"/>
  <c r="AA63" i="9" s="1"/>
  <c r="CE63" i="9"/>
  <c r="BP42" i="9"/>
  <c r="BJ58" i="9"/>
  <c r="AF42" i="9"/>
  <c r="BQ42" i="9"/>
  <c r="BK58" i="9"/>
  <c r="AG63" i="9"/>
  <c r="CG63" i="9"/>
  <c r="BL58" i="9"/>
  <c r="AL42" i="9"/>
  <c r="BS42" i="9"/>
  <c r="V58" i="9"/>
  <c r="W58" i="9" s="1"/>
  <c r="X58" i="9" s="1"/>
  <c r="Y58" i="9" s="1"/>
  <c r="Z58" i="9" s="1"/>
  <c r="AA58" i="9" s="1"/>
  <c r="AN63" i="9"/>
  <c r="CI63" i="9"/>
  <c r="AK42" i="9"/>
  <c r="BR42" i="9"/>
  <c r="CD58" i="9"/>
  <c r="BN58" i="9"/>
  <c r="AX58" i="9"/>
  <c r="AH58" i="9"/>
  <c r="BY58" i="9"/>
  <c r="BH58" i="9"/>
  <c r="AQ58" i="9"/>
  <c r="BX58" i="9"/>
  <c r="BG58" i="9"/>
  <c r="AP58" i="9"/>
  <c r="BV58" i="9"/>
  <c r="BE58" i="9"/>
  <c r="AN58" i="9"/>
  <c r="BU58" i="9"/>
  <c r="BA58" i="9"/>
  <c r="AF58" i="9"/>
  <c r="BT58" i="9"/>
  <c r="AZ58" i="9"/>
  <c r="AE58" i="9"/>
  <c r="BS58" i="9"/>
  <c r="AY58" i="9"/>
  <c r="AD58" i="9"/>
  <c r="CL58" i="9"/>
  <c r="BR58" i="9"/>
  <c r="AW58" i="9"/>
  <c r="AC58" i="9"/>
  <c r="BQ58" i="9"/>
  <c r="AR58" i="9"/>
  <c r="BP58" i="9"/>
  <c r="AO58" i="9"/>
  <c r="BM58" i="9"/>
  <c r="AL58" i="9"/>
  <c r="CA58" i="9"/>
  <c r="AU58" i="9"/>
  <c r="CI58" i="9"/>
  <c r="BC58" i="9"/>
  <c r="CH58" i="9"/>
  <c r="BB58" i="9"/>
  <c r="CF58" i="9"/>
  <c r="AT58" i="9"/>
  <c r="CC58" i="9"/>
  <c r="AM58" i="9"/>
  <c r="V21" i="9"/>
  <c r="W21" i="9" s="1"/>
  <c r="X21" i="9" s="1"/>
  <c r="Y21" i="9" s="1"/>
  <c r="Z21" i="9" s="1"/>
  <c r="AA21" i="9" s="1"/>
  <c r="BJ21" i="9" s="1"/>
  <c r="BI21" i="9" s="1"/>
  <c r="CE32" i="9"/>
  <c r="AM42" i="9"/>
  <c r="BT42" i="9"/>
  <c r="BW58" i="9"/>
  <c r="AO63" i="9"/>
  <c r="CJ63" i="9"/>
  <c r="CL66" i="9"/>
  <c r="BV66" i="9"/>
  <c r="BF66" i="9"/>
  <c r="AP66" i="9"/>
  <c r="CK66" i="9"/>
  <c r="BU66" i="9"/>
  <c r="BE66" i="9"/>
  <c r="AO66" i="9"/>
  <c r="CI66" i="9"/>
  <c r="CJ66" i="9"/>
  <c r="BQ66" i="9"/>
  <c r="AY66" i="9"/>
  <c r="AG66" i="9"/>
  <c r="CH66" i="9"/>
  <c r="BP66" i="9"/>
  <c r="AX66" i="9"/>
  <c r="AF66" i="9"/>
  <c r="CF66" i="9"/>
  <c r="BN66" i="9"/>
  <c r="AV66" i="9"/>
  <c r="AD66" i="9"/>
  <c r="CG66" i="9"/>
  <c r="BK66" i="9"/>
  <c r="AN66" i="9"/>
  <c r="CE66" i="9"/>
  <c r="BJ66" i="9"/>
  <c r="AM66" i="9"/>
  <c r="CD66" i="9"/>
  <c r="BI66" i="9"/>
  <c r="AL66" i="9"/>
  <c r="CC66" i="9"/>
  <c r="BH66" i="9"/>
  <c r="AK66" i="9"/>
  <c r="CB66" i="9"/>
  <c r="BA66" i="9"/>
  <c r="CA66" i="9"/>
  <c r="AZ66" i="9"/>
  <c r="V66" i="9"/>
  <c r="W66" i="9" s="1"/>
  <c r="X66" i="9" s="1"/>
  <c r="Y66" i="9" s="1"/>
  <c r="Z66" i="9" s="1"/>
  <c r="AA66" i="9" s="1"/>
  <c r="BY66" i="9"/>
  <c r="AU66" i="9"/>
  <c r="BD66" i="9"/>
  <c r="AB66" i="9"/>
  <c r="BZ66" i="9"/>
  <c r="AQ66" i="9"/>
  <c r="BX66" i="9"/>
  <c r="AJ66" i="9"/>
  <c r="BT66" i="9"/>
  <c r="AH66" i="9"/>
  <c r="BR66" i="9"/>
  <c r="AC66" i="9"/>
  <c r="BW66" i="9"/>
  <c r="AG36" i="9"/>
  <c r="CA36" i="9"/>
  <c r="BJ36" i="9"/>
  <c r="AD36" i="9"/>
  <c r="AE36" i="9" s="1"/>
  <c r="BS36" i="9"/>
  <c r="BR36" i="9"/>
  <c r="BO36" i="9"/>
  <c r="BN36" i="9" s="1"/>
  <c r="CE51" i="9"/>
  <c r="BO51" i="9"/>
  <c r="AY51" i="9"/>
  <c r="AI51" i="9"/>
  <c r="CB51" i="9"/>
  <c r="BK51" i="9"/>
  <c r="AT51" i="9"/>
  <c r="AC51" i="9"/>
  <c r="BY51" i="9"/>
  <c r="BH51" i="9"/>
  <c r="AQ51" i="9"/>
  <c r="CI51" i="9"/>
  <c r="BP51" i="9"/>
  <c r="AV51" i="9"/>
  <c r="AB51" i="9"/>
  <c r="CH51" i="9"/>
  <c r="BN51" i="9"/>
  <c r="AU51" i="9"/>
  <c r="CG51" i="9"/>
  <c r="BM51" i="9"/>
  <c r="AS51" i="9"/>
  <c r="CF51" i="9"/>
  <c r="BL51" i="9"/>
  <c r="AR51" i="9"/>
  <c r="CD51" i="9"/>
  <c r="BE51" i="9"/>
  <c r="AG51" i="9"/>
  <c r="CC51" i="9"/>
  <c r="BD51" i="9"/>
  <c r="AF51" i="9"/>
  <c r="BZ51" i="9"/>
  <c r="BB51" i="9"/>
  <c r="AD51" i="9"/>
  <c r="CL51" i="9"/>
  <c r="BI51" i="9"/>
  <c r="AK51" i="9"/>
  <c r="BF51" i="9"/>
  <c r="BY61" i="9"/>
  <c r="BI61" i="9"/>
  <c r="AS61" i="9"/>
  <c r="AC61" i="9"/>
  <c r="CG61" i="9"/>
  <c r="BP61" i="9"/>
  <c r="AY61" i="9"/>
  <c r="AH61" i="9"/>
  <c r="CF61" i="9"/>
  <c r="BO61" i="9"/>
  <c r="AX61" i="9"/>
  <c r="AG61" i="9"/>
  <c r="CD61" i="9"/>
  <c r="BM61" i="9"/>
  <c r="AV61" i="9"/>
  <c r="AE61" i="9"/>
  <c r="CK61" i="9"/>
  <c r="BQ61" i="9"/>
  <c r="AT61" i="9"/>
  <c r="CJ61" i="9"/>
  <c r="BN61" i="9"/>
  <c r="AR61" i="9"/>
  <c r="CI61" i="9"/>
  <c r="BL61" i="9"/>
  <c r="AQ61" i="9"/>
  <c r="CH61" i="9"/>
  <c r="BK61" i="9"/>
  <c r="AP61" i="9"/>
  <c r="V61" i="9"/>
  <c r="W61" i="9" s="1"/>
  <c r="X61" i="9" s="1"/>
  <c r="Y61" i="9" s="1"/>
  <c r="Z61" i="9" s="1"/>
  <c r="AA61" i="9" s="1"/>
  <c r="BT61" i="9"/>
  <c r="AN61" i="9"/>
  <c r="BS61" i="9"/>
  <c r="AM61" i="9"/>
  <c r="BJ61" i="9"/>
  <c r="AK61" i="9"/>
  <c r="BW61" i="9"/>
  <c r="AW61" i="9"/>
  <c r="BE61" i="9"/>
  <c r="AX36" i="9"/>
  <c r="AU36" i="9" s="1"/>
  <c r="BV36" i="9"/>
  <c r="CE41" i="9"/>
  <c r="BO41" i="9"/>
  <c r="AY41" i="9"/>
  <c r="AI41" i="9"/>
  <c r="CD41" i="9"/>
  <c r="BM41" i="9"/>
  <c r="AV41" i="9"/>
  <c r="AE41" i="9"/>
  <c r="CC41" i="9"/>
  <c r="BL41" i="9"/>
  <c r="AU41" i="9"/>
  <c r="AD41" i="9"/>
  <c r="CB41" i="9"/>
  <c r="BK41" i="9"/>
  <c r="AT41" i="9"/>
  <c r="AC41" i="9"/>
  <c r="CA41" i="9"/>
  <c r="BJ41" i="9"/>
  <c r="AS41" i="9"/>
  <c r="AB41" i="9"/>
  <c r="CF41" i="9"/>
  <c r="BF41" i="9"/>
  <c r="AK41" i="9"/>
  <c r="BZ41" i="9"/>
  <c r="BE41" i="9"/>
  <c r="AJ41" i="9"/>
  <c r="BX41" i="9"/>
  <c r="BC41" i="9"/>
  <c r="AG41" i="9"/>
  <c r="AW41" i="9"/>
  <c r="BV41" i="9"/>
  <c r="BJ51" i="9"/>
  <c r="BG61" i="9"/>
  <c r="BA36" i="9"/>
  <c r="BB36" i="9" s="1"/>
  <c r="I36" i="9" s="1"/>
  <c r="V41" i="9"/>
  <c r="W41" i="9" s="1"/>
  <c r="X41" i="9" s="1"/>
  <c r="Y41" i="9" s="1"/>
  <c r="Z41" i="9" s="1"/>
  <c r="AA41" i="9" s="1"/>
  <c r="AX41" i="9"/>
  <c r="BW41" i="9"/>
  <c r="BQ51" i="9"/>
  <c r="AB61" i="9"/>
  <c r="BH61" i="9"/>
  <c r="CB56" i="9"/>
  <c r="BL56" i="9"/>
  <c r="AV56" i="9"/>
  <c r="AF56" i="9"/>
  <c r="CE56" i="9"/>
  <c r="BN56" i="9"/>
  <c r="AW56" i="9"/>
  <c r="AE56" i="9"/>
  <c r="CD56" i="9"/>
  <c r="BM56" i="9"/>
  <c r="AU56" i="9"/>
  <c r="AD56" i="9"/>
  <c r="CA56" i="9"/>
  <c r="BJ56" i="9"/>
  <c r="AS56" i="9"/>
  <c r="AB56" i="9"/>
  <c r="CL56" i="9"/>
  <c r="BR56" i="9"/>
  <c r="AX56" i="9"/>
  <c r="CK56" i="9"/>
  <c r="BQ56" i="9"/>
  <c r="AT56" i="9"/>
  <c r="CJ56" i="9"/>
  <c r="BP56" i="9"/>
  <c r="AR56" i="9"/>
  <c r="CI56" i="9"/>
  <c r="BO56" i="9"/>
  <c r="AQ56" i="9"/>
  <c r="BA56" i="9"/>
  <c r="BY56" i="9"/>
  <c r="BA31" i="9"/>
  <c r="BB31" i="9" s="1"/>
  <c r="I31" i="9" s="1"/>
  <c r="BR31" i="9"/>
  <c r="AM56" i="9"/>
  <c r="BS56" i="9"/>
  <c r="AJ31" i="9"/>
  <c r="AO56" i="9"/>
  <c r="BU56" i="9"/>
  <c r="V31" i="9"/>
  <c r="W31" i="9" s="1"/>
  <c r="X31" i="9" s="1"/>
  <c r="Y31" i="9" s="1"/>
  <c r="Z31" i="9" s="1"/>
  <c r="AA31" i="9" s="1"/>
  <c r="BD31" i="9" s="1"/>
  <c r="BE31" i="9" s="1"/>
  <c r="BU31" i="9"/>
  <c r="V37" i="9"/>
  <c r="W37" i="9" s="1"/>
  <c r="X37" i="9" s="1"/>
  <c r="Y37" i="9" s="1"/>
  <c r="Z37" i="9" s="1"/>
  <c r="AA37" i="9" s="1"/>
  <c r="BS37" i="9" s="1"/>
  <c r="CD37" i="9"/>
  <c r="AP56" i="9"/>
  <c r="BV56" i="9"/>
  <c r="AJ44" i="9"/>
  <c r="BA44" i="9"/>
  <c r="BR44" i="9"/>
  <c r="CI44" i="9"/>
  <c r="AK47" i="9"/>
  <c r="BD47" i="9"/>
  <c r="AN54" i="9"/>
  <c r="BH54" i="9"/>
  <c r="AO59" i="9"/>
  <c r="BJ59" i="9"/>
  <c r="AQ64" i="9"/>
  <c r="BO64" i="9"/>
  <c r="AN65" i="9"/>
  <c r="BI65" i="9"/>
  <c r="AK44" i="9"/>
  <c r="BB44" i="9"/>
  <c r="BS44" i="9"/>
  <c r="BZ54" i="9"/>
  <c r="BJ54" i="9"/>
  <c r="AT54" i="9"/>
  <c r="AD54" i="9"/>
  <c r="CJ54" i="9"/>
  <c r="BS54" i="9"/>
  <c r="BB54" i="9"/>
  <c r="AK54" i="9"/>
  <c r="CI54" i="9"/>
  <c r="BR54" i="9"/>
  <c r="BA54" i="9"/>
  <c r="AJ54" i="9"/>
  <c r="CG54" i="9"/>
  <c r="BP54" i="9"/>
  <c r="AY54" i="9"/>
  <c r="AH54" i="9"/>
  <c r="AO54" i="9"/>
  <c r="BI54" i="9"/>
  <c r="CD54" i="9"/>
  <c r="CJ64" i="9"/>
  <c r="BT64" i="9"/>
  <c r="BD64" i="9"/>
  <c r="AN64" i="9"/>
  <c r="CI64" i="9"/>
  <c r="BS64" i="9"/>
  <c r="BC64" i="9"/>
  <c r="AM64" i="9"/>
  <c r="CE64" i="9"/>
  <c r="BM64" i="9"/>
  <c r="AU64" i="9"/>
  <c r="AC64" i="9"/>
  <c r="CD64" i="9"/>
  <c r="BL64" i="9"/>
  <c r="AT64" i="9"/>
  <c r="AB64" i="9"/>
  <c r="CB64" i="9"/>
  <c r="BJ64" i="9"/>
  <c r="AR64" i="9"/>
  <c r="AS64" i="9"/>
  <c r="BP64" i="9"/>
  <c r="BZ44" i="9"/>
  <c r="BJ44" i="9"/>
  <c r="AT44" i="9"/>
  <c r="AD44" i="9"/>
  <c r="AL44" i="9"/>
  <c r="BC44" i="9"/>
  <c r="BT44" i="9"/>
  <c r="CK44" i="9"/>
  <c r="CA47" i="9"/>
  <c r="BK47" i="9"/>
  <c r="BV47" i="9"/>
  <c r="BE47" i="9"/>
  <c r="AO47" i="9"/>
  <c r="CJ47" i="9"/>
  <c r="BS47" i="9"/>
  <c r="BB47" i="9"/>
  <c r="AL47" i="9"/>
  <c r="V47" i="9"/>
  <c r="W47" i="9" s="1"/>
  <c r="X47" i="9" s="1"/>
  <c r="Y47" i="9" s="1"/>
  <c r="Z47" i="9" s="1"/>
  <c r="AA47" i="9" s="1"/>
  <c r="AN47" i="9"/>
  <c r="BG47" i="9"/>
  <c r="BZ47" i="9"/>
  <c r="V54" i="9"/>
  <c r="W54" i="9" s="1"/>
  <c r="X54" i="9" s="1"/>
  <c r="Y54" i="9" s="1"/>
  <c r="Z54" i="9" s="1"/>
  <c r="AA54" i="9" s="1"/>
  <c r="AP54" i="9"/>
  <c r="BK54" i="9"/>
  <c r="CE54" i="9"/>
  <c r="BW59" i="9"/>
  <c r="BG59" i="9"/>
  <c r="AQ59" i="9"/>
  <c r="BV59" i="9"/>
  <c r="BE59" i="9"/>
  <c r="AN59" i="9"/>
  <c r="CL59" i="9"/>
  <c r="BU59" i="9"/>
  <c r="BD59" i="9"/>
  <c r="AM59" i="9"/>
  <c r="V59" i="9"/>
  <c r="W59" i="9" s="1"/>
  <c r="X59" i="9" s="1"/>
  <c r="Y59" i="9" s="1"/>
  <c r="Z59" i="9" s="1"/>
  <c r="AA59" i="9" s="1"/>
  <c r="CJ59" i="9"/>
  <c r="BS59" i="9"/>
  <c r="BB59" i="9"/>
  <c r="AK59" i="9"/>
  <c r="AR59" i="9"/>
  <c r="BL59" i="9"/>
  <c r="CF59" i="9"/>
  <c r="V64" i="9"/>
  <c r="W64" i="9" s="1"/>
  <c r="X64" i="9" s="1"/>
  <c r="Y64" i="9" s="1"/>
  <c r="Z64" i="9" s="1"/>
  <c r="AA64" i="9" s="1"/>
  <c r="AV64" i="9"/>
  <c r="BQ64" i="9"/>
  <c r="CC65" i="9"/>
  <c r="BM65" i="9"/>
  <c r="AW65" i="9"/>
  <c r="AG65" i="9"/>
  <c r="CB65" i="9"/>
  <c r="BL65" i="9"/>
  <c r="AV65" i="9"/>
  <c r="AF65" i="9"/>
  <c r="CH65" i="9"/>
  <c r="BP65" i="9"/>
  <c r="AX65" i="9"/>
  <c r="AD65" i="9"/>
  <c r="CG65" i="9"/>
  <c r="BO65" i="9"/>
  <c r="AU65" i="9"/>
  <c r="AC65" i="9"/>
  <c r="CE65" i="9"/>
  <c r="BK65" i="9"/>
  <c r="AS65" i="9"/>
  <c r="AP65" i="9"/>
  <c r="BN65" i="9"/>
  <c r="CK65" i="9"/>
  <c r="AK40" i="9"/>
  <c r="BA40" i="9"/>
  <c r="BQ40" i="9"/>
  <c r="CG40" i="9"/>
  <c r="V44" i="9"/>
  <c r="W44" i="9" s="1"/>
  <c r="X44" i="9" s="1"/>
  <c r="Y44" i="9" s="1"/>
  <c r="Z44" i="9" s="1"/>
  <c r="AA44" i="9" s="1"/>
  <c r="AM44" i="9"/>
  <c r="BD44" i="9"/>
  <c r="BU44" i="9"/>
  <c r="CL44" i="9"/>
  <c r="CB46" i="9"/>
  <c r="BL46" i="9"/>
  <c r="AV46" i="9"/>
  <c r="AF46" i="9"/>
  <c r="BY46" i="9"/>
  <c r="BI46" i="9"/>
  <c r="AS46" i="9"/>
  <c r="AC46" i="9"/>
  <c r="AM46" i="9"/>
  <c r="BE46" i="9"/>
  <c r="BW46" i="9"/>
  <c r="AP47" i="9"/>
  <c r="BH47" i="9"/>
  <c r="CB47" i="9"/>
  <c r="CL50" i="9"/>
  <c r="BV50" i="9"/>
  <c r="BF50" i="9"/>
  <c r="AP50" i="9"/>
  <c r="CE50" i="9"/>
  <c r="BN50" i="9"/>
  <c r="AW50" i="9"/>
  <c r="AF50" i="9"/>
  <c r="CB50" i="9"/>
  <c r="BK50" i="9"/>
  <c r="AT50" i="9"/>
  <c r="AC50" i="9"/>
  <c r="AN50" i="9"/>
  <c r="BH50" i="9"/>
  <c r="CA50" i="9"/>
  <c r="AQ54" i="9"/>
  <c r="BL54" i="9"/>
  <c r="CF54" i="9"/>
  <c r="AS59" i="9"/>
  <c r="BM59" i="9"/>
  <c r="CG59" i="9"/>
  <c r="AW64" i="9"/>
  <c r="BR64" i="9"/>
  <c r="V65" i="9"/>
  <c r="W65" i="9" s="1"/>
  <c r="X65" i="9" s="1"/>
  <c r="Y65" i="9" s="1"/>
  <c r="Z65" i="9" s="1"/>
  <c r="AA65" i="9" s="1"/>
  <c r="AQ65" i="9"/>
  <c r="BQ65" i="9"/>
  <c r="CL65" i="9"/>
  <c r="AK43" i="9"/>
  <c r="BA43" i="9"/>
  <c r="BQ43" i="9"/>
  <c r="AK53" i="9"/>
  <c r="BA53" i="9"/>
  <c r="BQ53" i="9"/>
  <c r="E170" i="8"/>
  <c r="E187" i="8" s="1"/>
  <c r="C171" i="8"/>
  <c r="J147" i="8"/>
  <c r="E140" i="8"/>
  <c r="J139" i="8" s="1"/>
  <c r="F186" i="8"/>
  <c r="H183" i="8"/>
  <c r="G172" i="8" s="1"/>
  <c r="T225" i="8"/>
  <c r="H144" i="8"/>
  <c r="H150" i="8"/>
  <c r="J148" i="8"/>
  <c r="H119" i="8"/>
  <c r="H113" i="8"/>
  <c r="I104" i="8" s="1"/>
  <c r="H182" i="8"/>
  <c r="E172" i="8" s="1"/>
  <c r="BF3" i="8"/>
  <c r="G178" i="8"/>
  <c r="G183" i="8" s="1"/>
  <c r="E186" i="8" s="1"/>
  <c r="H172" i="8" s="1"/>
  <c r="E109" i="8"/>
  <c r="J150" i="8"/>
  <c r="J119" i="8"/>
  <c r="F185" i="8"/>
  <c r="P222" i="8"/>
  <c r="E114" i="8"/>
  <c r="G116" i="8"/>
  <c r="CJ35" i="9" l="1"/>
  <c r="BU16" i="9"/>
  <c r="BY16" i="9"/>
  <c r="CD18" i="9"/>
  <c r="CA16" i="9"/>
  <c r="CB16" i="9"/>
  <c r="BV17" i="9"/>
  <c r="AL31" i="9"/>
  <c r="AK31" i="9" s="1"/>
  <c r="BY17" i="9"/>
  <c r="CC9" i="9"/>
  <c r="P9" i="9" s="1"/>
  <c r="BD16" i="9"/>
  <c r="BC16" i="9" s="1"/>
  <c r="CB28" i="9"/>
  <c r="CC32" i="9"/>
  <c r="P32" i="9" s="1"/>
  <c r="AH19" i="9"/>
  <c r="BA27" i="9"/>
  <c r="BB27" i="9" s="1"/>
  <c r="I27" i="9" s="1"/>
  <c r="AQ15" i="9"/>
  <c r="AN15" i="9"/>
  <c r="AS15" i="9"/>
  <c r="AT15" i="9"/>
  <c r="BW36" i="9"/>
  <c r="N36" i="9" s="1"/>
  <c r="BD19" i="9"/>
  <c r="AR15" i="9"/>
  <c r="AU15" i="9"/>
  <c r="BT15" i="9"/>
  <c r="M15" i="9" s="1"/>
  <c r="BV10" i="9"/>
  <c r="BX19" i="9"/>
  <c r="BZ23" i="9"/>
  <c r="O23" i="9" s="1"/>
  <c r="BJ35" i="9"/>
  <c r="BG35" i="9" s="1"/>
  <c r="BZ15" i="9"/>
  <c r="O15" i="9" s="1"/>
  <c r="BO12" i="9"/>
  <c r="BN12" i="9" s="1"/>
  <c r="BA28" i="9"/>
  <c r="BB28" i="9" s="1"/>
  <c r="I28" i="9" s="1"/>
  <c r="AW15" i="9"/>
  <c r="AV15" i="9"/>
  <c r="AO15" i="9"/>
  <c r="BD24" i="9"/>
  <c r="BE24" i="9" s="1"/>
  <c r="CC23" i="9"/>
  <c r="P23" i="9" s="1"/>
  <c r="AM15" i="9"/>
  <c r="G15" i="9" s="1"/>
  <c r="BV24" i="9"/>
  <c r="AP15" i="9"/>
  <c r="BO24" i="9"/>
  <c r="BN24" i="9" s="1"/>
  <c r="BS28" i="9"/>
  <c r="AC32" i="9"/>
  <c r="CA24" i="9"/>
  <c r="AL17" i="9"/>
  <c r="AK17" i="9" s="1"/>
  <c r="BS26" i="9"/>
  <c r="AJ35" i="9"/>
  <c r="BO27" i="9"/>
  <c r="BP27" i="9" s="1"/>
  <c r="BV16" i="9"/>
  <c r="BW16" i="9" s="1"/>
  <c r="N16" i="9" s="1"/>
  <c r="CF23" i="9"/>
  <c r="Q23" i="9" s="1"/>
  <c r="AL28" i="9"/>
  <c r="AK28" i="9" s="1"/>
  <c r="CA28" i="9"/>
  <c r="BY7" i="9"/>
  <c r="BV27" i="9"/>
  <c r="BW27" i="9" s="1"/>
  <c r="N27" i="9" s="1"/>
  <c r="BU28" i="9"/>
  <c r="AH26" i="9"/>
  <c r="AO27" i="9"/>
  <c r="BV28" i="9"/>
  <c r="AL26" i="9"/>
  <c r="AK26" i="9" s="1"/>
  <c r="BV35" i="9"/>
  <c r="AN27" i="9"/>
  <c r="CF15" i="9"/>
  <c r="Q15" i="9" s="1"/>
  <c r="AL24" i="9"/>
  <c r="AK24" i="9" s="1"/>
  <c r="CE28" i="9"/>
  <c r="BS7" i="9"/>
  <c r="BX7" i="9"/>
  <c r="BJ28" i="9"/>
  <c r="BL28" i="9" s="1"/>
  <c r="BK28" i="9" s="1"/>
  <c r="BS34" i="9"/>
  <c r="BO28" i="9"/>
  <c r="BP28" i="9" s="1"/>
  <c r="CF9" i="9"/>
  <c r="Q9" i="9" s="1"/>
  <c r="CC16" i="9"/>
  <c r="P16" i="9" s="1"/>
  <c r="CE29" i="9"/>
  <c r="AH7" i="9"/>
  <c r="AW23" i="9"/>
  <c r="BE16" i="9"/>
  <c r="AS32" i="9"/>
  <c r="BA24" i="9"/>
  <c r="BB24" i="9" s="1"/>
  <c r="I24" i="9" s="1"/>
  <c r="AH28" i="9"/>
  <c r="CJ14" i="9"/>
  <c r="CK14" i="9" s="1"/>
  <c r="CB35" i="9"/>
  <c r="BR27" i="9"/>
  <c r="AI9" i="9"/>
  <c r="F9" i="9" s="1"/>
  <c r="CD28" i="9"/>
  <c r="CJ21" i="9"/>
  <c r="CH21" i="9" s="1"/>
  <c r="AX7" i="9"/>
  <c r="AW7" i="9" s="1"/>
  <c r="CB14" i="9"/>
  <c r="BR7" i="9"/>
  <c r="BU7" i="9"/>
  <c r="BE23" i="9"/>
  <c r="BF23" i="9" s="1"/>
  <c r="J23" i="9" s="1"/>
  <c r="AX24" i="9"/>
  <c r="AP24" i="9" s="1"/>
  <c r="AU27" i="9"/>
  <c r="BA34" i="9"/>
  <c r="BB34" i="9" s="1"/>
  <c r="I34" i="9" s="1"/>
  <c r="AG24" i="9"/>
  <c r="BY28" i="9"/>
  <c r="AH34" i="9"/>
  <c r="BS24" i="9"/>
  <c r="BT24" i="9" s="1"/>
  <c r="M24" i="9" s="1"/>
  <c r="AX14" i="9"/>
  <c r="AO14" i="9" s="1"/>
  <c r="BD35" i="9"/>
  <c r="BE35" i="9" s="1"/>
  <c r="AH27" i="9"/>
  <c r="AI27" i="9" s="1"/>
  <c r="F27" i="9" s="1"/>
  <c r="BA16" i="9"/>
  <c r="BB16" i="9" s="1"/>
  <c r="I16" i="9" s="1"/>
  <c r="BI7" i="9"/>
  <c r="BG7" i="9"/>
  <c r="BE17" i="9"/>
  <c r="BC17" i="9"/>
  <c r="BF17" i="9" s="1"/>
  <c r="J17" i="9" s="1"/>
  <c r="BP29" i="9"/>
  <c r="BN29" i="9"/>
  <c r="BQ29" i="9" s="1"/>
  <c r="L29" i="9" s="1"/>
  <c r="BR11" i="9"/>
  <c r="CE26" i="9"/>
  <c r="BR22" i="9"/>
  <c r="BU12" i="9"/>
  <c r="BD34" i="9"/>
  <c r="AD17" i="9"/>
  <c r="AC17" i="9" s="1"/>
  <c r="AG29" i="9"/>
  <c r="BS17" i="9"/>
  <c r="BR34" i="9"/>
  <c r="BT34" i="9" s="1"/>
  <c r="M34" i="9" s="1"/>
  <c r="AD26" i="9"/>
  <c r="BV34" i="9"/>
  <c r="AY32" i="9"/>
  <c r="BG22" i="9"/>
  <c r="AJ26" i="9"/>
  <c r="BU33" i="9"/>
  <c r="CJ26" i="9"/>
  <c r="CG26" i="9" s="1"/>
  <c r="CB34" i="9"/>
  <c r="BV26" i="9"/>
  <c r="BY14" i="9"/>
  <c r="AL22" i="9"/>
  <c r="AK22" i="9" s="1"/>
  <c r="AJ34" i="9"/>
  <c r="CD26" i="9"/>
  <c r="AW36" i="9"/>
  <c r="AD33" i="9"/>
  <c r="AB33" i="9" s="1"/>
  <c r="BP9" i="9"/>
  <c r="BQ9" i="9" s="1"/>
  <c r="L9" i="9" s="1"/>
  <c r="AX26" i="9"/>
  <c r="AS26" i="9" s="1"/>
  <c r="AP36" i="9"/>
  <c r="AD34" i="9"/>
  <c r="AL34" i="9"/>
  <c r="AK34" i="9" s="1"/>
  <c r="BD26" i="9"/>
  <c r="BE26" i="9" s="1"/>
  <c r="AY36" i="9"/>
  <c r="BX33" i="9"/>
  <c r="BD29" i="9"/>
  <c r="BE29" i="9" s="1"/>
  <c r="CE34" i="9"/>
  <c r="AE9" i="9"/>
  <c r="BX26" i="9"/>
  <c r="AD27" i="9"/>
  <c r="AB27" i="9" s="1"/>
  <c r="AE15" i="9"/>
  <c r="AF15" i="9" s="1"/>
  <c r="E15" i="9" s="1"/>
  <c r="BW15" i="9"/>
  <c r="N15" i="9" s="1"/>
  <c r="AG12" i="9"/>
  <c r="BX28" i="9"/>
  <c r="BD28" i="9"/>
  <c r="AX28" i="9"/>
  <c r="BR28" i="9"/>
  <c r="CA33" i="9"/>
  <c r="BR26" i="9"/>
  <c r="BR14" i="9"/>
  <c r="BT14" i="9" s="1"/>
  <c r="M14" i="9" s="1"/>
  <c r="BP32" i="9"/>
  <c r="BQ32" i="9" s="1"/>
  <c r="L32" i="9" s="1"/>
  <c r="AI23" i="9"/>
  <c r="F23" i="9" s="1"/>
  <c r="AL29" i="9"/>
  <c r="AK29" i="9" s="1"/>
  <c r="AM29" i="9" s="1"/>
  <c r="G29" i="9" s="1"/>
  <c r="AH12" i="9"/>
  <c r="AG28" i="9"/>
  <c r="AI28" i="9" s="1"/>
  <c r="F28" i="9" s="1"/>
  <c r="CJ28" i="9"/>
  <c r="CJ34" i="9"/>
  <c r="CB22" i="9"/>
  <c r="BL22" i="9"/>
  <c r="BK22" i="9" s="1"/>
  <c r="AL12" i="9"/>
  <c r="AK12" i="9" s="1"/>
  <c r="AM12" i="9" s="1"/>
  <c r="G12" i="9" s="1"/>
  <c r="AG22" i="9"/>
  <c r="BA33" i="9"/>
  <c r="BB33" i="9" s="1"/>
  <c r="I33" i="9" s="1"/>
  <c r="BS29" i="9"/>
  <c r="BU26" i="9"/>
  <c r="AG33" i="9"/>
  <c r="BI9" i="9"/>
  <c r="AX22" i="9"/>
  <c r="AV22" i="9" s="1"/>
  <c r="AR36" i="9"/>
  <c r="CE33" i="9"/>
  <c r="AX29" i="9"/>
  <c r="AY29" i="9" s="1"/>
  <c r="CB26" i="9"/>
  <c r="CC26" i="9" s="1"/>
  <c r="P26" i="9" s="1"/>
  <c r="BJ14" i="9"/>
  <c r="BS27" i="9"/>
  <c r="BT27" i="9" s="1"/>
  <c r="M27" i="9" s="1"/>
  <c r="BJ27" i="9"/>
  <c r="BX12" i="9"/>
  <c r="BS22" i="9"/>
  <c r="CC36" i="9"/>
  <c r="P36" i="9" s="1"/>
  <c r="BZ32" i="9"/>
  <c r="O32" i="9" s="1"/>
  <c r="CD33" i="9"/>
  <c r="AX33" i="9"/>
  <c r="CE22" i="9"/>
  <c r="BR29" i="9"/>
  <c r="BT29" i="9" s="1"/>
  <c r="M29" i="9" s="1"/>
  <c r="BO26" i="9"/>
  <c r="BP26" i="9" s="1"/>
  <c r="BU34" i="9"/>
  <c r="BW34" i="9" s="1"/>
  <c r="N34" i="9" s="1"/>
  <c r="CA34" i="9"/>
  <c r="BV22" i="9"/>
  <c r="AG34" i="9"/>
  <c r="AL21" i="9"/>
  <c r="AK21" i="9" s="1"/>
  <c r="AT32" i="9"/>
  <c r="BJ37" i="9"/>
  <c r="BG37" i="9" s="1"/>
  <c r="AD7" i="9"/>
  <c r="CA14" i="9"/>
  <c r="BX27" i="9"/>
  <c r="AV27" i="9"/>
  <c r="BO22" i="9"/>
  <c r="BP22" i="9" s="1"/>
  <c r="BA22" i="9"/>
  <c r="BB22" i="9" s="1"/>
  <c r="I22" i="9" s="1"/>
  <c r="CB12" i="9"/>
  <c r="BT9" i="9"/>
  <c r="M9" i="9" s="1"/>
  <c r="BI22" i="9"/>
  <c r="AM31" i="9"/>
  <c r="G31" i="9" s="1"/>
  <c r="BY22" i="9"/>
  <c r="BJ34" i="9"/>
  <c r="BI34" i="9" s="1"/>
  <c r="AT27" i="9"/>
  <c r="AX34" i="9"/>
  <c r="AN34" i="9" s="1"/>
  <c r="AE32" i="9"/>
  <c r="BA20" i="9"/>
  <c r="BB20" i="9" s="1"/>
  <c r="I20" i="9" s="1"/>
  <c r="AC23" i="9"/>
  <c r="AF23" i="9" s="1"/>
  <c r="E23" i="9" s="1"/>
  <c r="AH33" i="9"/>
  <c r="BY34" i="9"/>
  <c r="BZ34" i="9" s="1"/>
  <c r="O34" i="9" s="1"/>
  <c r="BO34" i="9"/>
  <c r="BX21" i="9"/>
  <c r="CD29" i="9"/>
  <c r="AX10" i="9"/>
  <c r="AV10" i="9" s="1"/>
  <c r="CE7" i="9"/>
  <c r="CF7" i="9" s="1"/>
  <c r="Q7" i="9" s="1"/>
  <c r="AL14" i="9"/>
  <c r="AK14" i="9" s="1"/>
  <c r="AD14" i="9"/>
  <c r="AE14" i="9" s="1"/>
  <c r="CB27" i="9"/>
  <c r="BU22" i="9"/>
  <c r="AX16" i="9"/>
  <c r="AY16" i="9" s="1"/>
  <c r="CH16" i="9"/>
  <c r="BA12" i="9"/>
  <c r="BB12" i="9" s="1"/>
  <c r="I12" i="9" s="1"/>
  <c r="BZ9" i="9"/>
  <c r="O9" i="9" s="1"/>
  <c r="AJ28" i="9"/>
  <c r="CA22" i="9"/>
  <c r="CA29" i="9"/>
  <c r="CB33" i="9"/>
  <c r="AT9" i="9"/>
  <c r="BY26" i="9"/>
  <c r="BA26" i="9"/>
  <c r="BB26" i="9" s="1"/>
  <c r="I26" i="9" s="1"/>
  <c r="BV33" i="9"/>
  <c r="BC32" i="9"/>
  <c r="BF32" i="9" s="1"/>
  <c r="J32" i="9" s="1"/>
  <c r="BU29" i="9"/>
  <c r="BD33" i="9"/>
  <c r="BC33" i="9" s="1"/>
  <c r="CD34" i="9"/>
  <c r="CB21" i="9"/>
  <c r="BJ26" i="9"/>
  <c r="BG26" i="9" s="1"/>
  <c r="BC31" i="9"/>
  <c r="BF31" i="9" s="1"/>
  <c r="J31" i="9" s="1"/>
  <c r="AT36" i="9"/>
  <c r="BD21" i="9"/>
  <c r="CE19" i="9"/>
  <c r="AG26" i="9"/>
  <c r="BO14" i="9"/>
  <c r="BP14" i="9" s="1"/>
  <c r="CD27" i="9"/>
  <c r="BP15" i="9"/>
  <c r="BQ15" i="9" s="1"/>
  <c r="L15" i="9" s="1"/>
  <c r="BX22" i="9"/>
  <c r="AB20" i="9"/>
  <c r="AC20" i="9"/>
  <c r="AE20" i="9"/>
  <c r="CK19" i="9"/>
  <c r="CH19" i="9"/>
  <c r="CG19" i="9"/>
  <c r="CI19" i="9"/>
  <c r="CK35" i="9"/>
  <c r="CG35" i="9"/>
  <c r="CI35" i="9"/>
  <c r="CH35" i="9"/>
  <c r="BV11" i="9"/>
  <c r="BU11" i="9"/>
  <c r="CE11" i="9"/>
  <c r="BS11" i="9"/>
  <c r="BJ11" i="9"/>
  <c r="AL11" i="9"/>
  <c r="AK11" i="9" s="1"/>
  <c r="BO11" i="9"/>
  <c r="AG11" i="9"/>
  <c r="CA11" i="9"/>
  <c r="CB11" i="9"/>
  <c r="AJ11" i="9"/>
  <c r="BD11" i="9"/>
  <c r="AO9" i="9"/>
  <c r="AN9" i="9"/>
  <c r="AY9" i="9"/>
  <c r="AP9" i="9"/>
  <c r="AV9" i="9"/>
  <c r="AQ9" i="9"/>
  <c r="BC19" i="9"/>
  <c r="BE19" i="9"/>
  <c r="AD13" i="9"/>
  <c r="AL25" i="9"/>
  <c r="AK25" i="9" s="1"/>
  <c r="CE18" i="9"/>
  <c r="CF18" i="9" s="1"/>
  <c r="Q18" i="9" s="1"/>
  <c r="AX30" i="9"/>
  <c r="AL19" i="9"/>
  <c r="AK19" i="9" s="1"/>
  <c r="AM19" i="9" s="1"/>
  <c r="G19" i="9" s="1"/>
  <c r="BP8" i="9"/>
  <c r="BQ8" i="9" s="1"/>
  <c r="L8" i="9" s="1"/>
  <c r="BX35" i="9"/>
  <c r="AX11" i="9"/>
  <c r="BH37" i="9"/>
  <c r="BY13" i="9"/>
  <c r="BD13" i="9"/>
  <c r="BX13" i="9"/>
  <c r="AL13" i="9"/>
  <c r="AK13" i="9" s="1"/>
  <c r="BS13" i="9"/>
  <c r="BU13" i="9"/>
  <c r="AG13" i="9"/>
  <c r="AH13" i="9"/>
  <c r="CA13" i="9"/>
  <c r="CC13" i="9" s="1"/>
  <c r="P13" i="9" s="1"/>
  <c r="AX13" i="9"/>
  <c r="BR13" i="9"/>
  <c r="BJ25" i="9"/>
  <c r="BA25" i="9"/>
  <c r="BB25" i="9" s="1"/>
  <c r="I25" i="9" s="1"/>
  <c r="AX25" i="9"/>
  <c r="BU25" i="9"/>
  <c r="BW25" i="9" s="1"/>
  <c r="N25" i="9" s="1"/>
  <c r="BS25" i="9"/>
  <c r="AH25" i="9"/>
  <c r="AG25" i="9"/>
  <c r="AD25" i="9"/>
  <c r="CE25" i="9"/>
  <c r="CB25" i="9"/>
  <c r="BY25" i="9"/>
  <c r="AJ25" i="9"/>
  <c r="CJ25" i="9"/>
  <c r="BO25" i="9"/>
  <c r="BR25" i="9"/>
  <c r="BX25" i="9"/>
  <c r="AH37" i="9"/>
  <c r="CE37" i="9"/>
  <c r="CF37" i="9" s="1"/>
  <c r="Q37" i="9" s="1"/>
  <c r="AG37" i="9"/>
  <c r="BA37" i="9"/>
  <c r="BB37" i="9" s="1"/>
  <c r="I37" i="9" s="1"/>
  <c r="BX37" i="9"/>
  <c r="AX37" i="9"/>
  <c r="CB37" i="9"/>
  <c r="BY37" i="9"/>
  <c r="BU37" i="9"/>
  <c r="BO37" i="9"/>
  <c r="AJ37" i="9"/>
  <c r="BR37" i="9"/>
  <c r="BT37" i="9" s="1"/>
  <c r="M37" i="9" s="1"/>
  <c r="AD37" i="9"/>
  <c r="BV37" i="9"/>
  <c r="BD37" i="9"/>
  <c r="AL37" i="9"/>
  <c r="AK37" i="9" s="1"/>
  <c r="CJ37" i="9"/>
  <c r="AJ13" i="9"/>
  <c r="CJ30" i="9"/>
  <c r="BR10" i="9"/>
  <c r="BT10" i="9" s="1"/>
  <c r="M10" i="9" s="1"/>
  <c r="BX11" i="9"/>
  <c r="CF16" i="9"/>
  <c r="Q16" i="9" s="1"/>
  <c r="BL21" i="9"/>
  <c r="BK21" i="9" s="1"/>
  <c r="BH21" i="9"/>
  <c r="BG21" i="9"/>
  <c r="BM21" i="9" s="1"/>
  <c r="K21" i="9" s="1"/>
  <c r="CI11" i="9"/>
  <c r="CG11" i="9"/>
  <c r="AD30" i="9"/>
  <c r="AC33" i="9"/>
  <c r="CE13" i="9"/>
  <c r="CD13" i="9"/>
  <c r="AN7" i="9"/>
  <c r="BV20" i="9"/>
  <c r="BN23" i="9"/>
  <c r="BQ23" i="9" s="1"/>
  <c r="L23" i="9" s="1"/>
  <c r="CA30" i="9"/>
  <c r="BU30" i="9"/>
  <c r="BO19" i="9"/>
  <c r="CB19" i="9"/>
  <c r="BY19" i="9"/>
  <c r="AX19" i="9"/>
  <c r="BS19" i="9"/>
  <c r="BJ19" i="9"/>
  <c r="AD19" i="9"/>
  <c r="CD19" i="9"/>
  <c r="AG19" i="9"/>
  <c r="CA19" i="9"/>
  <c r="BU19" i="9"/>
  <c r="BW19" i="9" s="1"/>
  <c r="N19" i="9" s="1"/>
  <c r="BR35" i="9"/>
  <c r="AD35" i="9"/>
  <c r="CE35" i="9"/>
  <c r="AX35" i="9"/>
  <c r="BA35" i="9"/>
  <c r="BB35" i="9" s="1"/>
  <c r="I35" i="9" s="1"/>
  <c r="CA35" i="9"/>
  <c r="BO35" i="9"/>
  <c r="CD35" i="9"/>
  <c r="AL35" i="9"/>
  <c r="AK35" i="9" s="1"/>
  <c r="AQ23" i="9"/>
  <c r="AO23" i="9"/>
  <c r="AN23" i="9"/>
  <c r="AU23" i="9"/>
  <c r="AR23" i="9"/>
  <c r="AS23" i="9"/>
  <c r="BC15" i="9"/>
  <c r="BE15" i="9"/>
  <c r="AH11" i="9"/>
  <c r="AB16" i="9"/>
  <c r="AF16" i="9" s="1"/>
  <c r="E16" i="9" s="1"/>
  <c r="BT36" i="9"/>
  <c r="M36" i="9" s="1"/>
  <c r="BW9" i="9"/>
  <c r="N9" i="9" s="1"/>
  <c r="BR19" i="9"/>
  <c r="BT19" i="9" s="1"/>
  <c r="M19" i="9" s="1"/>
  <c r="BX8" i="9"/>
  <c r="BY8" i="9"/>
  <c r="BV8" i="9"/>
  <c r="CE8" i="9"/>
  <c r="AD8" i="9"/>
  <c r="CJ8" i="9"/>
  <c r="AG8" i="9"/>
  <c r="BU8" i="9"/>
  <c r="BJ8" i="9"/>
  <c r="CD8" i="9"/>
  <c r="CA8" i="9"/>
  <c r="BS8" i="9"/>
  <c r="CB8" i="9"/>
  <c r="AX8" i="9"/>
  <c r="AH8" i="9"/>
  <c r="BD8" i="9"/>
  <c r="BA8" i="9"/>
  <c r="BB8" i="9" s="1"/>
  <c r="I8" i="9" s="1"/>
  <c r="BN14" i="9"/>
  <c r="BI23" i="9"/>
  <c r="BL23" i="9"/>
  <c r="BK23" i="9" s="1"/>
  <c r="BG23" i="9"/>
  <c r="CB13" i="9"/>
  <c r="BY35" i="9"/>
  <c r="BS35" i="9"/>
  <c r="AD11" i="9"/>
  <c r="CD11" i="9"/>
  <c r="BO13" i="9"/>
  <c r="BD25" i="9"/>
  <c r="BV13" i="9"/>
  <c r="AY23" i="9"/>
  <c r="AE28" i="9"/>
  <c r="AB28" i="9"/>
  <c r="AC28" i="9"/>
  <c r="AS9" i="9"/>
  <c r="AL8" i="9"/>
  <c r="AK8" i="9" s="1"/>
  <c r="AM8" i="9" s="1"/>
  <c r="G8" i="9" s="1"/>
  <c r="CA37" i="9"/>
  <c r="BU35" i="9"/>
  <c r="BE22" i="9"/>
  <c r="BF22" i="9" s="1"/>
  <c r="J22" i="9" s="1"/>
  <c r="CK23" i="9"/>
  <c r="CG23" i="9"/>
  <c r="AJ18" i="9"/>
  <c r="BS18" i="9"/>
  <c r="BV18" i="9"/>
  <c r="BU18" i="9"/>
  <c r="AG18" i="9"/>
  <c r="BR18" i="9"/>
  <c r="BX18" i="9"/>
  <c r="BZ18" i="9" s="1"/>
  <c r="O18" i="9" s="1"/>
  <c r="CJ18" i="9"/>
  <c r="AD18" i="9"/>
  <c r="CA18" i="9"/>
  <c r="BJ18" i="9"/>
  <c r="BO18" i="9"/>
  <c r="AH18" i="9"/>
  <c r="AL18" i="9"/>
  <c r="AK18" i="9" s="1"/>
  <c r="AX18" i="9"/>
  <c r="BA18" i="9"/>
  <c r="BB18" i="9" s="1"/>
  <c r="I18" i="9" s="1"/>
  <c r="CK11" i="9"/>
  <c r="AC36" i="9"/>
  <c r="AB36" i="9"/>
  <c r="AF36" i="9" s="1"/>
  <c r="E36" i="9" s="1"/>
  <c r="BG29" i="9"/>
  <c r="BL29" i="9"/>
  <c r="BK29" i="9" s="1"/>
  <c r="CI9" i="9"/>
  <c r="CH9" i="9"/>
  <c r="CG9" i="9"/>
  <c r="BP16" i="9"/>
  <c r="BN16" i="9"/>
  <c r="CK9" i="9"/>
  <c r="AR9" i="9"/>
  <c r="CI15" i="9"/>
  <c r="CG15" i="9"/>
  <c r="CH15" i="9"/>
  <c r="CB18" i="9"/>
  <c r="CB10" i="9"/>
  <c r="CD10" i="9"/>
  <c r="CE10" i="9"/>
  <c r="BA10" i="9"/>
  <c r="BB10" i="9" s="1"/>
  <c r="I10" i="9" s="1"/>
  <c r="BJ10" i="9"/>
  <c r="AH10" i="9"/>
  <c r="CA10" i="9"/>
  <c r="AD10" i="9"/>
  <c r="BY10" i="9"/>
  <c r="BX10" i="9"/>
  <c r="AG10" i="9"/>
  <c r="BU10" i="9"/>
  <c r="BS10" i="9"/>
  <c r="BO10" i="9"/>
  <c r="AJ10" i="9"/>
  <c r="AM10" i="9" s="1"/>
  <c r="G10" i="9" s="1"/>
  <c r="CJ10" i="9"/>
  <c r="AW9" i="9"/>
  <c r="BY11" i="9"/>
  <c r="CK32" i="9"/>
  <c r="CH32" i="9"/>
  <c r="CG32" i="9"/>
  <c r="CI32" i="9"/>
  <c r="CD25" i="9"/>
  <c r="CA25" i="9"/>
  <c r="CH23" i="9"/>
  <c r="CI23" i="9"/>
  <c r="BD10" i="9"/>
  <c r="BV30" i="9"/>
  <c r="BR30" i="9"/>
  <c r="BJ30" i="9"/>
  <c r="AJ30" i="9"/>
  <c r="AM30" i="9" s="1"/>
  <c r="G30" i="9" s="1"/>
  <c r="AH30" i="9"/>
  <c r="BY30" i="9"/>
  <c r="BS30" i="9"/>
  <c r="AG30" i="9"/>
  <c r="CD30" i="9"/>
  <c r="CB30" i="9"/>
  <c r="BX30" i="9"/>
  <c r="BO30" i="9"/>
  <c r="CE30" i="9"/>
  <c r="BA30" i="9"/>
  <c r="BB30" i="9" s="1"/>
  <c r="I30" i="9" s="1"/>
  <c r="BD30" i="9"/>
  <c r="BJ20" i="9"/>
  <c r="CE20" i="9"/>
  <c r="BD20" i="9"/>
  <c r="BX20" i="9"/>
  <c r="AJ20" i="9"/>
  <c r="BU20" i="9"/>
  <c r="BW20" i="9" s="1"/>
  <c r="N20" i="9" s="1"/>
  <c r="AG20" i="9"/>
  <c r="AL20" i="9"/>
  <c r="AK20" i="9" s="1"/>
  <c r="CB20" i="9"/>
  <c r="BY20" i="9"/>
  <c r="CD20" i="9"/>
  <c r="CJ20" i="9"/>
  <c r="BO20" i="9"/>
  <c r="AX20" i="9"/>
  <c r="AH20" i="9"/>
  <c r="CA20" i="9"/>
  <c r="BS20" i="9"/>
  <c r="BD18" i="9"/>
  <c r="BJ13" i="9"/>
  <c r="BH27" i="9"/>
  <c r="BG27" i="9"/>
  <c r="BL27" i="9"/>
  <c r="BK27" i="9" s="1"/>
  <c r="BC36" i="9"/>
  <c r="BE36" i="9"/>
  <c r="AH35" i="9"/>
  <c r="AI35" i="9" s="1"/>
  <c r="F35" i="9" s="1"/>
  <c r="BI27" i="9"/>
  <c r="BR20" i="9"/>
  <c r="AT23" i="9"/>
  <c r="AP23" i="9"/>
  <c r="BH29" i="9"/>
  <c r="BR8" i="9"/>
  <c r="CJ13" i="9"/>
  <c r="BA11" i="9"/>
  <c r="BB11" i="9" s="1"/>
  <c r="I11" i="9" s="1"/>
  <c r="AM23" i="9"/>
  <c r="G23" i="9" s="1"/>
  <c r="BL15" i="9"/>
  <c r="BK15" i="9" s="1"/>
  <c r="BI15" i="9"/>
  <c r="BG15" i="9"/>
  <c r="CA12" i="9"/>
  <c r="CC12" i="9" s="1"/>
  <c r="P12" i="9" s="1"/>
  <c r="BS12" i="9"/>
  <c r="CJ12" i="9"/>
  <c r="CE12" i="9"/>
  <c r="CD12" i="9"/>
  <c r="BD12" i="9"/>
  <c r="AD12" i="9"/>
  <c r="AX12" i="9"/>
  <c r="BY12" i="9"/>
  <c r="BR12" i="9"/>
  <c r="BJ12" i="9"/>
  <c r="BV12" i="9"/>
  <c r="CB17" i="9"/>
  <c r="BO17" i="9"/>
  <c r="CA17" i="9"/>
  <c r="CC17" i="9" s="1"/>
  <c r="P17" i="9" s="1"/>
  <c r="BR17" i="9"/>
  <c r="AG17" i="9"/>
  <c r="CJ17" i="9"/>
  <c r="CD17" i="9"/>
  <c r="CG16" i="9"/>
  <c r="AQ27" i="9"/>
  <c r="AS27" i="9"/>
  <c r="AR27" i="9"/>
  <c r="AY27" i="9"/>
  <c r="BH26" i="9"/>
  <c r="BL26" i="9"/>
  <c r="BK26" i="9" s="1"/>
  <c r="BC27" i="9"/>
  <c r="BF27" i="9" s="1"/>
  <c r="J27" i="9" s="1"/>
  <c r="AH22" i="9"/>
  <c r="AI22" i="9" s="1"/>
  <c r="F22" i="9" s="1"/>
  <c r="AJ16" i="9"/>
  <c r="CD31" i="9"/>
  <c r="CF31" i="9" s="1"/>
  <c r="Q31" i="9" s="1"/>
  <c r="BJ31" i="9"/>
  <c r="CA31" i="9"/>
  <c r="BY31" i="9"/>
  <c r="AG31" i="9"/>
  <c r="CB31" i="9"/>
  <c r="AX31" i="9"/>
  <c r="BX31" i="9"/>
  <c r="BS31" i="9"/>
  <c r="BT31" i="9" s="1"/>
  <c r="M31" i="9" s="1"/>
  <c r="AH31" i="9"/>
  <c r="AD31" i="9"/>
  <c r="BV31" i="9"/>
  <c r="BW31" i="9" s="1"/>
  <c r="N31" i="9" s="1"/>
  <c r="BO31" i="9"/>
  <c r="CJ31" i="9"/>
  <c r="CE31" i="9"/>
  <c r="BH28" i="9"/>
  <c r="BI28" i="9"/>
  <c r="BG28" i="9"/>
  <c r="BS33" i="9"/>
  <c r="BT33" i="9" s="1"/>
  <c r="M33" i="9" s="1"/>
  <c r="AJ33" i="9"/>
  <c r="AL33" i="9"/>
  <c r="AK33" i="9" s="1"/>
  <c r="AJ17" i="9"/>
  <c r="AM17" i="9" s="1"/>
  <c r="G17" i="9" s="1"/>
  <c r="AB26" i="9"/>
  <c r="AC26" i="9"/>
  <c r="AE26" i="9"/>
  <c r="BA14" i="9"/>
  <c r="BB14" i="9" s="1"/>
  <c r="I14" i="9" s="1"/>
  <c r="BS14" i="9"/>
  <c r="AJ14" i="9"/>
  <c r="AG14" i="9"/>
  <c r="AH14" i="9"/>
  <c r="BX14" i="9"/>
  <c r="BV14" i="9"/>
  <c r="BW14" i="9" s="1"/>
  <c r="N14" i="9" s="1"/>
  <c r="CD14" i="9"/>
  <c r="CF14" i="9" s="1"/>
  <c r="Q14" i="9" s="1"/>
  <c r="BL32" i="9"/>
  <c r="BK32" i="9" s="1"/>
  <c r="BH32" i="9"/>
  <c r="AW27" i="9"/>
  <c r="CD22" i="9"/>
  <c r="AJ22" i="9"/>
  <c r="CI16" i="9"/>
  <c r="BY29" i="9"/>
  <c r="BA29" i="9"/>
  <c r="BB29" i="9" s="1"/>
  <c r="I29" i="9" s="1"/>
  <c r="CJ29" i="9"/>
  <c r="BU17" i="9"/>
  <c r="BA17" i="9"/>
  <c r="BB17" i="9" s="1"/>
  <c r="I17" i="9" s="1"/>
  <c r="AX17" i="9"/>
  <c r="BL9" i="9"/>
  <c r="BK9" i="9" s="1"/>
  <c r="BL36" i="9"/>
  <c r="BK36" i="9" s="1"/>
  <c r="BI36" i="9"/>
  <c r="BG36" i="9"/>
  <c r="BH36" i="9"/>
  <c r="BE9" i="9"/>
  <c r="BC9" i="9"/>
  <c r="BV29" i="9"/>
  <c r="BW29" i="9" s="1"/>
  <c r="N29" i="9" s="1"/>
  <c r="BX16" i="9"/>
  <c r="BZ16" i="9" s="1"/>
  <c r="O16" i="9" s="1"/>
  <c r="AH16" i="9"/>
  <c r="AI16" i="9" s="1"/>
  <c r="F16" i="9" s="1"/>
  <c r="BP36" i="9"/>
  <c r="BQ36" i="9" s="1"/>
  <c r="L36" i="9" s="1"/>
  <c r="AR34" i="9"/>
  <c r="AO34" i="9"/>
  <c r="BV21" i="9"/>
  <c r="AJ21" i="9"/>
  <c r="AM21" i="9" s="1"/>
  <c r="G21" i="9" s="1"/>
  <c r="AH21" i="9"/>
  <c r="AG21" i="9"/>
  <c r="AD21" i="9"/>
  <c r="BA21" i="9"/>
  <c r="BB21" i="9" s="1"/>
  <c r="I21" i="9" s="1"/>
  <c r="BY21" i="9"/>
  <c r="BO21" i="9"/>
  <c r="BU21" i="9"/>
  <c r="BR21" i="9"/>
  <c r="BS21" i="9"/>
  <c r="CD21" i="9"/>
  <c r="CA21" i="9"/>
  <c r="CC21" i="9" s="1"/>
  <c r="P21" i="9" s="1"/>
  <c r="AX21" i="9"/>
  <c r="CE21" i="9"/>
  <c r="AI32" i="9"/>
  <c r="F32" i="9" s="1"/>
  <c r="BW23" i="9"/>
  <c r="N23" i="9" s="1"/>
  <c r="BY33" i="9"/>
  <c r="AD29" i="9"/>
  <c r="CB29" i="9"/>
  <c r="CF32" i="9"/>
  <c r="Q32" i="9" s="1"/>
  <c r="AL16" i="9"/>
  <c r="AK16" i="9" s="1"/>
  <c r="AR26" i="9"/>
  <c r="AP26" i="9"/>
  <c r="AW26" i="9"/>
  <c r="AU26" i="9"/>
  <c r="AQ26" i="9"/>
  <c r="AY26" i="9"/>
  <c r="AT26" i="9"/>
  <c r="AO26" i="9"/>
  <c r="CH36" i="9"/>
  <c r="CG36" i="9"/>
  <c r="CK21" i="9"/>
  <c r="CI21" i="9"/>
  <c r="BX29" i="9"/>
  <c r="BJ33" i="9"/>
  <c r="CJ33" i="9"/>
  <c r="BO33" i="9"/>
  <c r="BX17" i="9"/>
  <c r="BZ17" i="9" s="1"/>
  <c r="O17" i="9" s="1"/>
  <c r="BH7" i="9"/>
  <c r="BL7" i="9"/>
  <c r="BK7" i="9" s="1"/>
  <c r="AO36" i="9"/>
  <c r="AN36" i="9"/>
  <c r="AS36" i="9"/>
  <c r="AQ36" i="9"/>
  <c r="AV36" i="9"/>
  <c r="BT32" i="9"/>
  <c r="M32" i="9" s="1"/>
  <c r="BG9" i="9"/>
  <c r="AW32" i="9"/>
  <c r="AU32" i="9"/>
  <c r="AR32" i="9"/>
  <c r="AQ32" i="9"/>
  <c r="AP32" i="9"/>
  <c r="AO32" i="9"/>
  <c r="AN32" i="9"/>
  <c r="AN26" i="9"/>
  <c r="CI36" i="9"/>
  <c r="AI36" i="9"/>
  <c r="F36" i="9" s="1"/>
  <c r="CD24" i="9"/>
  <c r="CF24" i="9" s="1"/>
  <c r="Q24" i="9" s="1"/>
  <c r="AD24" i="9"/>
  <c r="BY24" i="9"/>
  <c r="BU24" i="9"/>
  <c r="BW24" i="9" s="1"/>
  <c r="N24" i="9" s="1"/>
  <c r="AH24" i="9"/>
  <c r="AJ24" i="9"/>
  <c r="CB24" i="9"/>
  <c r="BX24" i="9"/>
  <c r="BJ24" i="9"/>
  <c r="CJ24" i="9"/>
  <c r="BJ17" i="9"/>
  <c r="AH29" i="9"/>
  <c r="AI29" i="9" s="1"/>
  <c r="F29" i="9" s="1"/>
  <c r="AH17" i="9"/>
  <c r="AC9" i="9"/>
  <c r="CA7" i="9"/>
  <c r="CB7" i="9"/>
  <c r="BV7" i="9"/>
  <c r="BW7" i="9" s="1"/>
  <c r="N7" i="9" s="1"/>
  <c r="CJ7" i="9"/>
  <c r="AJ7" i="9"/>
  <c r="AL7" i="9"/>
  <c r="AK7" i="9" s="1"/>
  <c r="AG7" i="9"/>
  <c r="BO7" i="9"/>
  <c r="BD7" i="9"/>
  <c r="BD14" i="9"/>
  <c r="CE17" i="9"/>
  <c r="AL27" i="9"/>
  <c r="AK27" i="9" s="1"/>
  <c r="AJ27" i="9"/>
  <c r="AM27" i="9" s="1"/>
  <c r="G27" i="9" s="1"/>
  <c r="CJ27" i="9"/>
  <c r="CE27" i="9"/>
  <c r="CA27" i="9"/>
  <c r="BY27" i="9"/>
  <c r="CJ22" i="9"/>
  <c r="AD22" i="9"/>
  <c r="BS16" i="9"/>
  <c r="BT16" i="9" s="1"/>
  <c r="M16" i="9" s="1"/>
  <c r="BJ16" i="9"/>
  <c r="F140" i="8"/>
  <c r="J140" i="8" s="1"/>
  <c r="D171" i="8"/>
  <c r="G171" i="8" s="1"/>
  <c r="F171" i="8" s="1"/>
  <c r="F109" i="8"/>
  <c r="J108" i="8"/>
  <c r="J116" i="8"/>
  <c r="G119" i="8"/>
  <c r="J114" i="8"/>
  <c r="H106" i="8"/>
  <c r="AM35" i="9" l="1"/>
  <c r="G35" i="9" s="1"/>
  <c r="BL34" i="9"/>
  <c r="BK34" i="9" s="1"/>
  <c r="BT26" i="9"/>
  <c r="M26" i="9" s="1"/>
  <c r="AM26" i="9"/>
  <c r="G26" i="9" s="1"/>
  <c r="CH26" i="9"/>
  <c r="BI35" i="9"/>
  <c r="CC14" i="9"/>
  <c r="P14" i="9" s="1"/>
  <c r="CI14" i="9"/>
  <c r="CC27" i="9"/>
  <c r="P27" i="9" s="1"/>
  <c r="BZ22" i="9"/>
  <c r="O22" i="9" s="1"/>
  <c r="AI26" i="9"/>
  <c r="F26" i="9" s="1"/>
  <c r="CC24" i="9"/>
  <c r="P24" i="9" s="1"/>
  <c r="AM14" i="9"/>
  <c r="G14" i="9" s="1"/>
  <c r="BH35" i="9"/>
  <c r="BM35" i="9" s="1"/>
  <c r="K35" i="9" s="1"/>
  <c r="BP12" i="9"/>
  <c r="BQ12" i="9" s="1"/>
  <c r="L12" i="9" s="1"/>
  <c r="CC28" i="9"/>
  <c r="P28" i="9" s="1"/>
  <c r="CH14" i="9"/>
  <c r="BG34" i="9"/>
  <c r="BH34" i="9"/>
  <c r="AM24" i="9"/>
  <c r="G24" i="9" s="1"/>
  <c r="BW17" i="9"/>
  <c r="N17" i="9" s="1"/>
  <c r="AN29" i="9"/>
  <c r="CF13" i="9"/>
  <c r="Q13" i="9" s="1"/>
  <c r="BL35" i="9"/>
  <c r="BK35" i="9" s="1"/>
  <c r="CF28" i="9"/>
  <c r="Q28" i="9" s="1"/>
  <c r="AI24" i="9"/>
  <c r="F24" i="9" s="1"/>
  <c r="AR29" i="9"/>
  <c r="BW35" i="9"/>
  <c r="N35" i="9" s="1"/>
  <c r="AZ15" i="9"/>
  <c r="H15" i="9" s="1"/>
  <c r="CG14" i="9"/>
  <c r="CL14" i="9" s="1"/>
  <c r="R14" i="9" s="1"/>
  <c r="BF16" i="9"/>
  <c r="J16" i="9" s="1"/>
  <c r="AP29" i="9"/>
  <c r="CC37" i="9"/>
  <c r="P37" i="9" s="1"/>
  <c r="AI19" i="9"/>
  <c r="F19" i="9" s="1"/>
  <c r="AY24" i="9"/>
  <c r="BM32" i="9"/>
  <c r="K32" i="9" s="1"/>
  <c r="AS24" i="9"/>
  <c r="CK26" i="9"/>
  <c r="CF29" i="9"/>
  <c r="Q29" i="9" s="1"/>
  <c r="BT28" i="9"/>
  <c r="M28" i="9" s="1"/>
  <c r="AO24" i="9"/>
  <c r="BW28" i="9"/>
  <c r="N28" i="9" s="1"/>
  <c r="AQ34" i="9"/>
  <c r="CF35" i="9"/>
  <c r="Q35" i="9" s="1"/>
  <c r="BZ19" i="9"/>
  <c r="O19" i="9" s="1"/>
  <c r="AV26" i="9"/>
  <c r="AZ26" i="9" s="1"/>
  <c r="H26" i="9" s="1"/>
  <c r="BI26" i="9"/>
  <c r="BM26" i="9" s="1"/>
  <c r="K26" i="9" s="1"/>
  <c r="BC35" i="9"/>
  <c r="BF35" i="9" s="1"/>
  <c r="J35" i="9" s="1"/>
  <c r="BZ33" i="9"/>
  <c r="O33" i="9" s="1"/>
  <c r="AF32" i="9"/>
  <c r="E32" i="9" s="1"/>
  <c r="BW10" i="9"/>
  <c r="N10" i="9" s="1"/>
  <c r="AI10" i="9"/>
  <c r="F10" i="9" s="1"/>
  <c r="AV24" i="9"/>
  <c r="AI34" i="9"/>
  <c r="F34" i="9" s="1"/>
  <c r="AU24" i="9"/>
  <c r="CI26" i="9"/>
  <c r="CL26" i="9" s="1"/>
  <c r="R26" i="9" s="1"/>
  <c r="BZ29" i="9"/>
  <c r="O29" i="9" s="1"/>
  <c r="BZ10" i="9"/>
  <c r="O10" i="9" s="1"/>
  <c r="AQ24" i="9"/>
  <c r="BP24" i="9"/>
  <c r="BQ24" i="9" s="1"/>
  <c r="L24" i="9" s="1"/>
  <c r="BC26" i="9"/>
  <c r="AM28" i="9"/>
  <c r="G28" i="9" s="1"/>
  <c r="BZ24" i="9"/>
  <c r="O24" i="9" s="1"/>
  <c r="BC24" i="9"/>
  <c r="BE33" i="9"/>
  <c r="BF33" i="9" s="1"/>
  <c r="J33" i="9" s="1"/>
  <c r="CF20" i="9"/>
  <c r="Q20" i="9" s="1"/>
  <c r="BM22" i="9"/>
  <c r="K22" i="9" s="1"/>
  <c r="AT14" i="9"/>
  <c r="AI12" i="9"/>
  <c r="F12" i="9" s="1"/>
  <c r="BT22" i="9"/>
  <c r="M22" i="9" s="1"/>
  <c r="AI7" i="9"/>
  <c r="F7" i="9" s="1"/>
  <c r="AE33" i="9"/>
  <c r="AF33" i="9" s="1"/>
  <c r="E33" i="9" s="1"/>
  <c r="AI25" i="9"/>
  <c r="F25" i="9" s="1"/>
  <c r="AR7" i="9"/>
  <c r="AU7" i="9"/>
  <c r="AC27" i="9"/>
  <c r="CC35" i="9"/>
  <c r="P35" i="9" s="1"/>
  <c r="AO10" i="9"/>
  <c r="AQ29" i="9"/>
  <c r="AZ29" i="9" s="1"/>
  <c r="H29" i="9" s="1"/>
  <c r="AI33" i="9"/>
  <c r="F33" i="9" s="1"/>
  <c r="AU10" i="9"/>
  <c r="BW26" i="9"/>
  <c r="N26" i="9" s="1"/>
  <c r="BZ27" i="9"/>
  <c r="O27" i="9" s="1"/>
  <c r="BT12" i="9"/>
  <c r="M12" i="9" s="1"/>
  <c r="AN24" i="9"/>
  <c r="AP10" i="9"/>
  <c r="BT11" i="9"/>
  <c r="M11" i="9" s="1"/>
  <c r="AQ7" i="9"/>
  <c r="CC33" i="9"/>
  <c r="P33" i="9" s="1"/>
  <c r="BW33" i="9"/>
  <c r="N33" i="9" s="1"/>
  <c r="AU29" i="9"/>
  <c r="BT17" i="9"/>
  <c r="M17" i="9" s="1"/>
  <c r="AW29" i="9"/>
  <c r="AW14" i="9"/>
  <c r="AN14" i="9"/>
  <c r="AV14" i="9"/>
  <c r="AN10" i="9"/>
  <c r="CF27" i="9"/>
  <c r="Q27" i="9" s="1"/>
  <c r="AF9" i="9"/>
  <c r="E9" i="9" s="1"/>
  <c r="AY7" i="9"/>
  <c r="AR24" i="9"/>
  <c r="AR10" i="9"/>
  <c r="BL37" i="9"/>
  <c r="BK37" i="9" s="1"/>
  <c r="BW22" i="9"/>
  <c r="N22" i="9" s="1"/>
  <c r="BM28" i="9"/>
  <c r="K28" i="9" s="1"/>
  <c r="AV7" i="9"/>
  <c r="BZ26" i="9"/>
  <c r="O26" i="9" s="1"/>
  <c r="AO29" i="9"/>
  <c r="CC22" i="9"/>
  <c r="P22" i="9" s="1"/>
  <c r="AW10" i="9"/>
  <c r="AR14" i="9"/>
  <c r="AP14" i="9"/>
  <c r="AQ14" i="9"/>
  <c r="AY14" i="9"/>
  <c r="AT29" i="9"/>
  <c r="AO7" i="9"/>
  <c r="AW24" i="9"/>
  <c r="BN27" i="9"/>
  <c r="BQ27" i="9" s="1"/>
  <c r="L27" i="9" s="1"/>
  <c r="AY10" i="9"/>
  <c r="BI37" i="9"/>
  <c r="BM37" i="9" s="1"/>
  <c r="K37" i="9" s="1"/>
  <c r="AS7" i="9"/>
  <c r="BZ7" i="9"/>
  <c r="O7" i="9" s="1"/>
  <c r="AE27" i="9"/>
  <c r="BN26" i="9"/>
  <c r="BQ26" i="9" s="1"/>
  <c r="L26" i="9" s="1"/>
  <c r="AT10" i="9"/>
  <c r="AQ10" i="9"/>
  <c r="BN28" i="9"/>
  <c r="BQ28" i="9" s="1"/>
  <c r="L28" i="9" s="1"/>
  <c r="BZ21" i="9"/>
  <c r="O21" i="9" s="1"/>
  <c r="CG21" i="9"/>
  <c r="CL21" i="9" s="1"/>
  <c r="R21" i="9" s="1"/>
  <c r="AV29" i="9"/>
  <c r="AO22" i="9"/>
  <c r="AI18" i="9"/>
  <c r="F18" i="9" s="1"/>
  <c r="AT7" i="9"/>
  <c r="AT24" i="9"/>
  <c r="AS10" i="9"/>
  <c r="AS14" i="9"/>
  <c r="BZ28" i="9"/>
  <c r="O28" i="9" s="1"/>
  <c r="BT7" i="9"/>
  <c r="M7" i="9" s="1"/>
  <c r="CF33" i="9"/>
  <c r="Q33" i="9" s="1"/>
  <c r="BT8" i="9"/>
  <c r="M8" i="9" s="1"/>
  <c r="BF9" i="9"/>
  <c r="J9" i="9" s="1"/>
  <c r="AU14" i="9"/>
  <c r="CF12" i="9"/>
  <c r="Q12" i="9" s="1"/>
  <c r="BT20" i="9"/>
  <c r="M20" i="9" s="1"/>
  <c r="AS29" i="9"/>
  <c r="AS22" i="9"/>
  <c r="BW18" i="9"/>
  <c r="N18" i="9" s="1"/>
  <c r="CF19" i="9"/>
  <c r="Q19" i="9" s="1"/>
  <c r="AP7" i="9"/>
  <c r="BN34" i="9"/>
  <c r="BP34" i="9"/>
  <c r="AN33" i="9"/>
  <c r="AW33" i="9"/>
  <c r="AY33" i="9"/>
  <c r="CF22" i="9"/>
  <c r="Q22" i="9" s="1"/>
  <c r="BN22" i="9"/>
  <c r="BQ22" i="9" s="1"/>
  <c r="L22" i="9" s="1"/>
  <c r="AB7" i="9"/>
  <c r="AE7" i="9"/>
  <c r="AC7" i="9"/>
  <c r="CC29" i="9"/>
  <c r="P29" i="9" s="1"/>
  <c r="AM33" i="9"/>
  <c r="G33" i="9" s="1"/>
  <c r="BZ12" i="9"/>
  <c r="O12" i="9" s="1"/>
  <c r="AN22" i="9"/>
  <c r="BT18" i="9"/>
  <c r="M18" i="9" s="1"/>
  <c r="BW11" i="9"/>
  <c r="N11" i="9" s="1"/>
  <c r="CF34" i="9"/>
  <c r="Q34" i="9" s="1"/>
  <c r="AS16" i="9"/>
  <c r="AU16" i="9"/>
  <c r="AP16" i="9"/>
  <c r="AV16" i="9"/>
  <c r="AW16" i="9"/>
  <c r="AT16" i="9"/>
  <c r="AO16" i="9"/>
  <c r="AQ16" i="9"/>
  <c r="AR16" i="9"/>
  <c r="AN16" i="9"/>
  <c r="AT34" i="9"/>
  <c r="AY34" i="9"/>
  <c r="AS34" i="9"/>
  <c r="AW34" i="9"/>
  <c r="AV34" i="9"/>
  <c r="AU34" i="9"/>
  <c r="AP34" i="9"/>
  <c r="AU22" i="9"/>
  <c r="BW12" i="9"/>
  <c r="N12" i="9" s="1"/>
  <c r="BT30" i="9"/>
  <c r="M30" i="9" s="1"/>
  <c r="AW22" i="9"/>
  <c r="AS33" i="9"/>
  <c r="AM25" i="9"/>
  <c r="G25" i="9" s="1"/>
  <c r="BZ35" i="9"/>
  <c r="O35" i="9" s="1"/>
  <c r="AC14" i="9"/>
  <c r="AB14" i="9"/>
  <c r="AV28" i="9"/>
  <c r="AN28" i="9"/>
  <c r="AQ28" i="9"/>
  <c r="AW28" i="9"/>
  <c r="AP28" i="9"/>
  <c r="AR28" i="9"/>
  <c r="AO28" i="9"/>
  <c r="AT28" i="9"/>
  <c r="AS28" i="9"/>
  <c r="AY28" i="9"/>
  <c r="AU28" i="9"/>
  <c r="AB34" i="9"/>
  <c r="AE34" i="9"/>
  <c r="AC34" i="9"/>
  <c r="CC31" i="9"/>
  <c r="P31" i="9" s="1"/>
  <c r="AM34" i="9"/>
  <c r="G34" i="9" s="1"/>
  <c r="CL16" i="9"/>
  <c r="R16" i="9" s="1"/>
  <c r="AV33" i="9"/>
  <c r="AR22" i="9"/>
  <c r="AR33" i="9"/>
  <c r="BC28" i="9"/>
  <c r="BE28" i="9"/>
  <c r="AM22" i="9"/>
  <c r="G22" i="9" s="1"/>
  <c r="AZ27" i="9"/>
  <c r="H27" i="9" s="1"/>
  <c r="BM27" i="9"/>
  <c r="K27" i="9" s="1"/>
  <c r="BZ14" i="9"/>
  <c r="O14" i="9" s="1"/>
  <c r="AM18" i="9"/>
  <c r="G18" i="9" s="1"/>
  <c r="AU33" i="9"/>
  <c r="CC34" i="9"/>
  <c r="P34" i="9" s="1"/>
  <c r="BG14" i="9"/>
  <c r="BH14" i="9"/>
  <c r="BL14" i="9"/>
  <c r="BK14" i="9" s="1"/>
  <c r="BI14" i="9"/>
  <c r="AM16" i="9"/>
  <c r="G16" i="9" s="1"/>
  <c r="CF17" i="9"/>
  <c r="Q17" i="9" s="1"/>
  <c r="BZ30" i="9"/>
  <c r="O30" i="9" s="1"/>
  <c r="AP33" i="9"/>
  <c r="BE34" i="9"/>
  <c r="BC34" i="9"/>
  <c r="BF34" i="9" s="1"/>
  <c r="J34" i="9" s="1"/>
  <c r="AI20" i="9"/>
  <c r="F20" i="9" s="1"/>
  <c r="BM7" i="9"/>
  <c r="K7" i="9" s="1"/>
  <c r="BC29" i="9"/>
  <c r="AB17" i="9"/>
  <c r="CC10" i="9"/>
  <c r="P10" i="9" s="1"/>
  <c r="AT33" i="9"/>
  <c r="AY22" i="9"/>
  <c r="BZ13" i="9"/>
  <c r="O13" i="9" s="1"/>
  <c r="AM11" i="9"/>
  <c r="G11" i="9" s="1"/>
  <c r="BC21" i="9"/>
  <c r="BE21" i="9"/>
  <c r="AE17" i="9"/>
  <c r="AO33" i="9"/>
  <c r="BZ11" i="9"/>
  <c r="O11" i="9" s="1"/>
  <c r="CI34" i="9"/>
  <c r="CG34" i="9"/>
  <c r="CK34" i="9"/>
  <c r="CH34" i="9"/>
  <c r="AT22" i="9"/>
  <c r="CL36" i="9"/>
  <c r="R36" i="9" s="1"/>
  <c r="AQ22" i="9"/>
  <c r="AP22" i="9"/>
  <c r="AQ33" i="9"/>
  <c r="BF26" i="9"/>
  <c r="J26" i="9" s="1"/>
  <c r="AI30" i="9"/>
  <c r="F30" i="9" s="1"/>
  <c r="CG28" i="9"/>
  <c r="CI28" i="9"/>
  <c r="CH28" i="9"/>
  <c r="CK28" i="9"/>
  <c r="CF26" i="9"/>
  <c r="Q26" i="9" s="1"/>
  <c r="CC18" i="9"/>
  <c r="P18" i="9" s="1"/>
  <c r="BG11" i="9"/>
  <c r="BH11" i="9"/>
  <c r="BL11" i="9"/>
  <c r="BK11" i="9" s="1"/>
  <c r="BI11" i="9"/>
  <c r="AE18" i="9"/>
  <c r="AC18" i="9"/>
  <c r="AB18" i="9"/>
  <c r="BN33" i="9"/>
  <c r="BP33" i="9"/>
  <c r="BE37" i="9"/>
  <c r="BC37" i="9"/>
  <c r="BF36" i="9"/>
  <c r="J36" i="9" s="1"/>
  <c r="BP13" i="9"/>
  <c r="BN13" i="9"/>
  <c r="AW19" i="9"/>
  <c r="AT19" i="9"/>
  <c r="AQ19" i="9"/>
  <c r="AU19" i="9"/>
  <c r="AS19" i="9"/>
  <c r="AR19" i="9"/>
  <c r="AP19" i="9"/>
  <c r="AV19" i="9"/>
  <c r="AN19" i="9"/>
  <c r="AO19" i="9"/>
  <c r="AY19" i="9"/>
  <c r="AY30" i="9"/>
  <c r="AS30" i="9"/>
  <c r="AN30" i="9"/>
  <c r="AV30" i="9"/>
  <c r="AT30" i="9"/>
  <c r="AR30" i="9"/>
  <c r="AQ30" i="9"/>
  <c r="AO30" i="9"/>
  <c r="AP30" i="9"/>
  <c r="AW30" i="9"/>
  <c r="AU30" i="9"/>
  <c r="BN31" i="9"/>
  <c r="BP31" i="9"/>
  <c r="BZ20" i="9"/>
  <c r="O20" i="9" s="1"/>
  <c r="BC13" i="9"/>
  <c r="BE13" i="9"/>
  <c r="CC7" i="9"/>
  <c r="P7" i="9" s="1"/>
  <c r="CH17" i="9"/>
  <c r="CK17" i="9"/>
  <c r="CI17" i="9"/>
  <c r="CG17" i="9"/>
  <c r="BH13" i="9"/>
  <c r="BG13" i="9"/>
  <c r="BL13" i="9"/>
  <c r="BK13" i="9" s="1"/>
  <c r="BI13" i="9"/>
  <c r="BE20" i="9"/>
  <c r="BC20" i="9"/>
  <c r="AE10" i="9"/>
  <c r="AC10" i="9"/>
  <c r="AB10" i="9"/>
  <c r="CF11" i="9"/>
  <c r="Q11" i="9" s="1"/>
  <c r="BF24" i="9"/>
  <c r="J24" i="9" s="1"/>
  <c r="BW21" i="9"/>
  <c r="N21" i="9" s="1"/>
  <c r="CG29" i="9"/>
  <c r="CI29" i="9"/>
  <c r="CH29" i="9"/>
  <c r="CK29" i="9"/>
  <c r="AC31" i="9"/>
  <c r="AB31" i="9"/>
  <c r="AE31" i="9"/>
  <c r="AI17" i="9"/>
  <c r="F17" i="9" s="1"/>
  <c r="BE18" i="9"/>
  <c r="BC18" i="9"/>
  <c r="CL32" i="9"/>
  <c r="R32" i="9" s="1"/>
  <c r="AE11" i="9"/>
  <c r="AC11" i="9"/>
  <c r="AB11" i="9"/>
  <c r="CC8" i="9"/>
  <c r="P8" i="9" s="1"/>
  <c r="BW30" i="9"/>
  <c r="N30" i="9" s="1"/>
  <c r="CL11" i="9"/>
  <c r="R11" i="9" s="1"/>
  <c r="BE11" i="9"/>
  <c r="BC11" i="9"/>
  <c r="CH37" i="9"/>
  <c r="CG37" i="9"/>
  <c r="CK37" i="9"/>
  <c r="CI37" i="9"/>
  <c r="CG25" i="9"/>
  <c r="CI25" i="9"/>
  <c r="CK25" i="9"/>
  <c r="CH25" i="9"/>
  <c r="BN10" i="9"/>
  <c r="BP10" i="9"/>
  <c r="CK18" i="9"/>
  <c r="CH18" i="9"/>
  <c r="CI18" i="9"/>
  <c r="CG18" i="9"/>
  <c r="BF19" i="9"/>
  <c r="J19" i="9" s="1"/>
  <c r="BI16" i="9"/>
  <c r="BL16" i="9"/>
  <c r="BK16" i="9" s="1"/>
  <c r="BH16" i="9"/>
  <c r="BG16" i="9"/>
  <c r="BL19" i="9"/>
  <c r="BK19" i="9" s="1"/>
  <c r="BG19" i="9"/>
  <c r="BH19" i="9"/>
  <c r="BI19" i="9"/>
  <c r="AM7" i="9"/>
  <c r="G7" i="9" s="1"/>
  <c r="AS21" i="9"/>
  <c r="AY21" i="9"/>
  <c r="AW21" i="9"/>
  <c r="AV21" i="9"/>
  <c r="AU21" i="9"/>
  <c r="AR21" i="9"/>
  <c r="AT21" i="9"/>
  <c r="AQ21" i="9"/>
  <c r="AP21" i="9"/>
  <c r="AO21" i="9"/>
  <c r="AN21" i="9"/>
  <c r="CF21" i="9"/>
  <c r="Q21" i="9" s="1"/>
  <c r="AO17" i="9"/>
  <c r="AS17" i="9"/>
  <c r="AT17" i="9"/>
  <c r="AR17" i="9"/>
  <c r="AQ17" i="9"/>
  <c r="AP17" i="9"/>
  <c r="AU17" i="9"/>
  <c r="AY17" i="9"/>
  <c r="AV17" i="9"/>
  <c r="AN17" i="9"/>
  <c r="AW17" i="9"/>
  <c r="AE24" i="9"/>
  <c r="AC24" i="9"/>
  <c r="AB24" i="9"/>
  <c r="CL35" i="9"/>
  <c r="R35" i="9" s="1"/>
  <c r="BT21" i="9"/>
  <c r="M21" i="9" s="1"/>
  <c r="BN19" i="9"/>
  <c r="BP19" i="9"/>
  <c r="CG30" i="9"/>
  <c r="CH30" i="9"/>
  <c r="CI30" i="9"/>
  <c r="CK30" i="9"/>
  <c r="BW37" i="9"/>
  <c r="N37" i="9" s="1"/>
  <c r="CG27" i="9"/>
  <c r="CK27" i="9"/>
  <c r="CI27" i="9"/>
  <c r="CH27" i="9"/>
  <c r="BP21" i="9"/>
  <c r="BN21" i="9"/>
  <c r="BM15" i="9"/>
  <c r="K15" i="9" s="1"/>
  <c r="BG20" i="9"/>
  <c r="BI20" i="9"/>
  <c r="BH20" i="9"/>
  <c r="BL20" i="9"/>
  <c r="BK20" i="9" s="1"/>
  <c r="CF30" i="9"/>
  <c r="Q30" i="9" s="1"/>
  <c r="BQ16" i="9"/>
  <c r="L16" i="9" s="1"/>
  <c r="CL23" i="9"/>
  <c r="R23" i="9" s="1"/>
  <c r="CF8" i="9"/>
  <c r="Q8" i="9" s="1"/>
  <c r="AN35" i="9"/>
  <c r="AW35" i="9"/>
  <c r="AS35" i="9"/>
  <c r="AV35" i="9"/>
  <c r="AQ35" i="9"/>
  <c r="AT35" i="9"/>
  <c r="AU35" i="9"/>
  <c r="AO35" i="9"/>
  <c r="AY35" i="9"/>
  <c r="AR35" i="9"/>
  <c r="AP35" i="9"/>
  <c r="CC30" i="9"/>
  <c r="P30" i="9" s="1"/>
  <c r="AY25" i="9"/>
  <c r="AT25" i="9"/>
  <c r="AQ25" i="9"/>
  <c r="AN25" i="9"/>
  <c r="AW25" i="9"/>
  <c r="AV25" i="9"/>
  <c r="AR25" i="9"/>
  <c r="AU25" i="9"/>
  <c r="AP25" i="9"/>
  <c r="AO25" i="9"/>
  <c r="AS25" i="9"/>
  <c r="AF20" i="9"/>
  <c r="E20" i="9" s="1"/>
  <c r="BI30" i="9"/>
  <c r="BH30" i="9"/>
  <c r="BG30" i="9"/>
  <c r="BL30" i="9"/>
  <c r="BK30" i="9" s="1"/>
  <c r="CG10" i="9"/>
  <c r="CI10" i="9"/>
  <c r="CK10" i="9"/>
  <c r="CH10" i="9"/>
  <c r="BQ14" i="9"/>
  <c r="L14" i="9" s="1"/>
  <c r="AE19" i="9"/>
  <c r="AC19" i="9"/>
  <c r="AB19" i="9"/>
  <c r="AE22" i="9"/>
  <c r="AB22" i="9"/>
  <c r="AC22" i="9"/>
  <c r="CI7" i="9"/>
  <c r="CG7" i="9"/>
  <c r="CH7" i="9"/>
  <c r="CK7" i="9"/>
  <c r="AR8" i="9"/>
  <c r="AS8" i="9"/>
  <c r="AW8" i="9"/>
  <c r="AQ8" i="9"/>
  <c r="AO8" i="9"/>
  <c r="AN8" i="9"/>
  <c r="AP8" i="9"/>
  <c r="AV8" i="9"/>
  <c r="AU8" i="9"/>
  <c r="AT8" i="9"/>
  <c r="AY8" i="9"/>
  <c r="BM34" i="9"/>
  <c r="K34" i="9" s="1"/>
  <c r="BN35" i="9"/>
  <c r="BP35" i="9"/>
  <c r="BP37" i="9"/>
  <c r="BN37" i="9"/>
  <c r="AY37" i="9"/>
  <c r="AW37" i="9"/>
  <c r="AV37" i="9"/>
  <c r="AU37" i="9"/>
  <c r="AT37" i="9"/>
  <c r="AS37" i="9"/>
  <c r="AO37" i="9"/>
  <c r="AP37" i="9"/>
  <c r="AN37" i="9"/>
  <c r="AR37" i="9"/>
  <c r="AQ37" i="9"/>
  <c r="BE25" i="9"/>
  <c r="BC25" i="9"/>
  <c r="BE10" i="9"/>
  <c r="BC10" i="9"/>
  <c r="BE12" i="9"/>
  <c r="BC12" i="9"/>
  <c r="BF29" i="9"/>
  <c r="J29" i="9" s="1"/>
  <c r="BE8" i="9"/>
  <c r="BC8" i="9"/>
  <c r="CG12" i="9"/>
  <c r="CH12" i="9"/>
  <c r="CK12" i="9"/>
  <c r="CI12" i="9"/>
  <c r="CF25" i="9"/>
  <c r="Q25" i="9" s="1"/>
  <c r="AF26" i="9"/>
  <c r="E26" i="9" s="1"/>
  <c r="BZ31" i="9"/>
  <c r="O31" i="9" s="1"/>
  <c r="BN17" i="9"/>
  <c r="BP17" i="9"/>
  <c r="CL9" i="9"/>
  <c r="R9" i="9" s="1"/>
  <c r="BW8" i="9"/>
  <c r="N8" i="9" s="1"/>
  <c r="AC35" i="9"/>
  <c r="AE35" i="9"/>
  <c r="AB35" i="9"/>
  <c r="BZ37" i="9"/>
  <c r="O37" i="9" s="1"/>
  <c r="BL25" i="9"/>
  <c r="BK25" i="9" s="1"/>
  <c r="BI25" i="9"/>
  <c r="BH25" i="9"/>
  <c r="BG25" i="9"/>
  <c r="CC11" i="9"/>
  <c r="P11" i="9" s="1"/>
  <c r="BE7" i="9"/>
  <c r="BC7" i="9"/>
  <c r="BL24" i="9"/>
  <c r="BK24" i="9" s="1"/>
  <c r="BG24" i="9"/>
  <c r="BH24" i="9"/>
  <c r="BI24" i="9"/>
  <c r="BM36" i="9"/>
  <c r="K36" i="9" s="1"/>
  <c r="BI31" i="9"/>
  <c r="BG31" i="9"/>
  <c r="BH31" i="9"/>
  <c r="BL31" i="9"/>
  <c r="BK31" i="9" s="1"/>
  <c r="AT12" i="9"/>
  <c r="AP12" i="9"/>
  <c r="AS12" i="9"/>
  <c r="AV12" i="9"/>
  <c r="AO12" i="9"/>
  <c r="AN12" i="9"/>
  <c r="AY12" i="9"/>
  <c r="AW12" i="9"/>
  <c r="AR12" i="9"/>
  <c r="AQ12" i="9"/>
  <c r="AU12" i="9"/>
  <c r="AI13" i="9"/>
  <c r="F13" i="9" s="1"/>
  <c r="CL15" i="9"/>
  <c r="R15" i="9" s="1"/>
  <c r="BZ8" i="9"/>
  <c r="O8" i="9" s="1"/>
  <c r="AE37" i="9"/>
  <c r="AC37" i="9"/>
  <c r="AB37" i="9"/>
  <c r="CH22" i="9"/>
  <c r="CG22" i="9"/>
  <c r="CI22" i="9"/>
  <c r="CK22" i="9"/>
  <c r="AM20" i="9"/>
  <c r="G20" i="9" s="1"/>
  <c r="BM9" i="9"/>
  <c r="K9" i="9" s="1"/>
  <c r="BL10" i="9"/>
  <c r="BK10" i="9" s="1"/>
  <c r="BI10" i="9"/>
  <c r="BH10" i="9"/>
  <c r="BG10" i="9"/>
  <c r="AY18" i="9"/>
  <c r="AU18" i="9"/>
  <c r="AR18" i="9"/>
  <c r="AN18" i="9"/>
  <c r="AO18" i="9"/>
  <c r="AP18" i="9"/>
  <c r="AQ18" i="9"/>
  <c r="AW18" i="9"/>
  <c r="AS18" i="9"/>
  <c r="AV18" i="9"/>
  <c r="AT18" i="9"/>
  <c r="BI8" i="9"/>
  <c r="BG8" i="9"/>
  <c r="BH8" i="9"/>
  <c r="BL8" i="9"/>
  <c r="BK8" i="9" s="1"/>
  <c r="AP31" i="9"/>
  <c r="AO31" i="9"/>
  <c r="AV31" i="9"/>
  <c r="AT31" i="9"/>
  <c r="AS31" i="9"/>
  <c r="AR31" i="9"/>
  <c r="AQ31" i="9"/>
  <c r="AN31" i="9"/>
  <c r="AW31" i="9"/>
  <c r="AY31" i="9"/>
  <c r="AU31" i="9"/>
  <c r="AQ20" i="9"/>
  <c r="AP20" i="9"/>
  <c r="AO20" i="9"/>
  <c r="AN20" i="9"/>
  <c r="AU20" i="9"/>
  <c r="AW20" i="9"/>
  <c r="AT20" i="9"/>
  <c r="AY20" i="9"/>
  <c r="AV20" i="9"/>
  <c r="AR20" i="9"/>
  <c r="AS20" i="9"/>
  <c r="AI8" i="9"/>
  <c r="F8" i="9" s="1"/>
  <c r="BT35" i="9"/>
  <c r="M35" i="9" s="1"/>
  <c r="BZ25" i="9"/>
  <c r="O25" i="9" s="1"/>
  <c r="AI11" i="9"/>
  <c r="F11" i="9" s="1"/>
  <c r="AY11" i="9"/>
  <c r="AP11" i="9"/>
  <c r="AR11" i="9"/>
  <c r="AQ11" i="9"/>
  <c r="AW11" i="9"/>
  <c r="AT11" i="9"/>
  <c r="AU11" i="9"/>
  <c r="AO11" i="9"/>
  <c r="AS11" i="9"/>
  <c r="AV11" i="9"/>
  <c r="AN11" i="9"/>
  <c r="BP7" i="9"/>
  <c r="BN7" i="9"/>
  <c r="BM29" i="9"/>
  <c r="K29" i="9" s="1"/>
  <c r="AZ23" i="9"/>
  <c r="H23" i="9" s="1"/>
  <c r="BW13" i="9"/>
  <c r="N13" i="9" s="1"/>
  <c r="BI33" i="9"/>
  <c r="BH33" i="9"/>
  <c r="BG33" i="9"/>
  <c r="BL33" i="9"/>
  <c r="BK33" i="9" s="1"/>
  <c r="BC30" i="9"/>
  <c r="BE30" i="9"/>
  <c r="CL19" i="9"/>
  <c r="R19" i="9" s="1"/>
  <c r="AM37" i="9"/>
  <c r="G37" i="9" s="1"/>
  <c r="AZ9" i="9"/>
  <c r="H9" i="9" s="1"/>
  <c r="CC20" i="9"/>
  <c r="P20" i="9" s="1"/>
  <c r="AZ32" i="9"/>
  <c r="H32" i="9" s="1"/>
  <c r="S32" i="9" s="1"/>
  <c r="AC21" i="9"/>
  <c r="AB21" i="9"/>
  <c r="AE21" i="9"/>
  <c r="BC14" i="9"/>
  <c r="BE14" i="9"/>
  <c r="BH17" i="9"/>
  <c r="BL17" i="9"/>
  <c r="BK17" i="9" s="1"/>
  <c r="BI17" i="9"/>
  <c r="BG17" i="9"/>
  <c r="AI21" i="9"/>
  <c r="F21" i="9" s="1"/>
  <c r="BP20" i="9"/>
  <c r="BN20" i="9"/>
  <c r="CF10" i="9"/>
  <c r="Q10" i="9" s="1"/>
  <c r="BP18" i="9"/>
  <c r="BN18" i="9"/>
  <c r="BM23" i="9"/>
  <c r="K23" i="9" s="1"/>
  <c r="CK8" i="9"/>
  <c r="CG8" i="9"/>
  <c r="CH8" i="9"/>
  <c r="CI8" i="9"/>
  <c r="BF15" i="9"/>
  <c r="J15" i="9" s="1"/>
  <c r="AI37" i="9"/>
  <c r="F37" i="9" s="1"/>
  <c r="BT25" i="9"/>
  <c r="M25" i="9" s="1"/>
  <c r="BT13" i="9"/>
  <c r="M13" i="9" s="1"/>
  <c r="BP11" i="9"/>
  <c r="BN11" i="9"/>
  <c r="CK33" i="9"/>
  <c r="CH33" i="9"/>
  <c r="CI33" i="9"/>
  <c r="CG33" i="9"/>
  <c r="AC12" i="9"/>
  <c r="AE12" i="9"/>
  <c r="AB12" i="9"/>
  <c r="AF28" i="9"/>
  <c r="E28" i="9" s="1"/>
  <c r="AC25" i="9"/>
  <c r="AE25" i="9"/>
  <c r="AB25" i="9"/>
  <c r="AI14" i="9"/>
  <c r="F14" i="9" s="1"/>
  <c r="CH31" i="9"/>
  <c r="CG31" i="9"/>
  <c r="CI31" i="9"/>
  <c r="CK31" i="9"/>
  <c r="CC25" i="9"/>
  <c r="P25" i="9" s="1"/>
  <c r="BN30" i="9"/>
  <c r="BP30" i="9"/>
  <c r="AE30" i="9"/>
  <c r="AB30" i="9"/>
  <c r="AC30" i="9"/>
  <c r="AZ36" i="9"/>
  <c r="H36" i="9" s="1"/>
  <c r="D36" i="9" s="1"/>
  <c r="CG24" i="9"/>
  <c r="CI24" i="9"/>
  <c r="CK24" i="9"/>
  <c r="CH24" i="9"/>
  <c r="AE29" i="9"/>
  <c r="AC29" i="9"/>
  <c r="AB29" i="9"/>
  <c r="AI31" i="9"/>
  <c r="F31" i="9" s="1"/>
  <c r="BI12" i="9"/>
  <c r="BG12" i="9"/>
  <c r="BH12" i="9"/>
  <c r="BL12" i="9"/>
  <c r="BK12" i="9" s="1"/>
  <c r="CG13" i="9"/>
  <c r="CH13" i="9"/>
  <c r="CK13" i="9"/>
  <c r="CI13" i="9"/>
  <c r="CG20" i="9"/>
  <c r="CI20" i="9"/>
  <c r="CH20" i="9"/>
  <c r="CK20" i="9"/>
  <c r="BH18" i="9"/>
  <c r="BG18" i="9"/>
  <c r="BL18" i="9"/>
  <c r="BK18" i="9" s="1"/>
  <c r="BI18" i="9"/>
  <c r="AC8" i="9"/>
  <c r="AE8" i="9"/>
  <c r="AB8" i="9"/>
  <c r="CC19" i="9"/>
  <c r="P19" i="9" s="1"/>
  <c r="AM13" i="9"/>
  <c r="G13" i="9" s="1"/>
  <c r="BN25" i="9"/>
  <c r="BP25" i="9"/>
  <c r="AT13" i="9"/>
  <c r="AS13" i="9"/>
  <c r="AP13" i="9"/>
  <c r="AO13" i="9"/>
  <c r="AW13" i="9"/>
  <c r="AU13" i="9"/>
  <c r="AV13" i="9"/>
  <c r="AQ13" i="9"/>
  <c r="AN13" i="9"/>
  <c r="AY13" i="9"/>
  <c r="AR13" i="9"/>
  <c r="AC13" i="9"/>
  <c r="AB13" i="9"/>
  <c r="AE13" i="9"/>
  <c r="G140" i="8"/>
  <c r="J141" i="8" s="1"/>
  <c r="H140" i="8"/>
  <c r="J142" i="8" s="1"/>
  <c r="H109" i="8"/>
  <c r="J111" i="8" s="1"/>
  <c r="J109" i="8"/>
  <c r="D23" i="9" l="1"/>
  <c r="BM25" i="9"/>
  <c r="K25" i="9" s="1"/>
  <c r="AF14" i="9"/>
  <c r="E14" i="9" s="1"/>
  <c r="AZ14" i="9"/>
  <c r="H14" i="9" s="1"/>
  <c r="CL34" i="9"/>
  <c r="R34" i="9" s="1"/>
  <c r="AZ10" i="9"/>
  <c r="H10" i="9" s="1"/>
  <c r="AZ24" i="9"/>
  <c r="H24" i="9" s="1"/>
  <c r="S15" i="9"/>
  <c r="BQ13" i="9"/>
  <c r="L13" i="9" s="1"/>
  <c r="AZ7" i="9"/>
  <c r="H7" i="9" s="1"/>
  <c r="CL28" i="9"/>
  <c r="R28" i="9" s="1"/>
  <c r="AZ34" i="9"/>
  <c r="H34" i="9" s="1"/>
  <c r="AZ22" i="9"/>
  <c r="H22" i="9" s="1"/>
  <c r="S36" i="9"/>
  <c r="BQ11" i="9"/>
  <c r="L11" i="9" s="1"/>
  <c r="BQ20" i="9"/>
  <c r="L20" i="9" s="1"/>
  <c r="AF18" i="9"/>
  <c r="E18" i="9" s="1"/>
  <c r="BQ25" i="9"/>
  <c r="L25" i="9" s="1"/>
  <c r="BF18" i="9"/>
  <c r="J18" i="9" s="1"/>
  <c r="AF7" i="9"/>
  <c r="E7" i="9" s="1"/>
  <c r="AF27" i="9"/>
  <c r="E27" i="9" s="1"/>
  <c r="AF25" i="9"/>
  <c r="E25" i="9" s="1"/>
  <c r="AF17" i="9"/>
  <c r="E17" i="9" s="1"/>
  <c r="C9" i="9"/>
  <c r="C32" i="9"/>
  <c r="AF10" i="9"/>
  <c r="E10" i="9" s="1"/>
  <c r="BQ33" i="9"/>
  <c r="L33" i="9" s="1"/>
  <c r="BQ19" i="9"/>
  <c r="L19" i="9" s="1"/>
  <c r="BM19" i="9"/>
  <c r="K19" i="9" s="1"/>
  <c r="AZ16" i="9"/>
  <c r="H16" i="9" s="1"/>
  <c r="S23" i="9"/>
  <c r="CL22" i="9"/>
  <c r="R22" i="9" s="1"/>
  <c r="BQ17" i="9"/>
  <c r="L17" i="9" s="1"/>
  <c r="BF25" i="9"/>
  <c r="J25" i="9" s="1"/>
  <c r="BQ31" i="9"/>
  <c r="L31" i="9" s="1"/>
  <c r="AF13" i="9"/>
  <c r="E13" i="9" s="1"/>
  <c r="AF30" i="9"/>
  <c r="E30" i="9" s="1"/>
  <c r="AF21" i="9"/>
  <c r="E21" i="9" s="1"/>
  <c r="AZ21" i="9"/>
  <c r="H21" i="9" s="1"/>
  <c r="BM14" i="9"/>
  <c r="K14" i="9" s="1"/>
  <c r="D14" i="9" s="1"/>
  <c r="AF34" i="9"/>
  <c r="E34" i="9" s="1"/>
  <c r="BF14" i="9"/>
  <c r="J14" i="9" s="1"/>
  <c r="BQ7" i="9"/>
  <c r="L7" i="9" s="1"/>
  <c r="AF37" i="9"/>
  <c r="E37" i="9" s="1"/>
  <c r="BQ21" i="9"/>
  <c r="L21" i="9" s="1"/>
  <c r="AF24" i="9"/>
  <c r="E24" i="9" s="1"/>
  <c r="BM16" i="9"/>
  <c r="K16" i="9" s="1"/>
  <c r="BQ30" i="9"/>
  <c r="L30" i="9" s="1"/>
  <c r="AZ11" i="9"/>
  <c r="H11" i="9" s="1"/>
  <c r="CL37" i="9"/>
  <c r="R37" i="9" s="1"/>
  <c r="AF31" i="9"/>
  <c r="E31" i="9" s="1"/>
  <c r="AZ28" i="9"/>
  <c r="H28" i="9" s="1"/>
  <c r="D28" i="9" s="1"/>
  <c r="AZ13" i="9"/>
  <c r="H13" i="9" s="1"/>
  <c r="BF21" i="9"/>
  <c r="J21" i="9" s="1"/>
  <c r="CL18" i="9"/>
  <c r="R18" i="9" s="1"/>
  <c r="C23" i="9"/>
  <c r="C15" i="9"/>
  <c r="D9" i="9"/>
  <c r="AF29" i="9"/>
  <c r="E29" i="9" s="1"/>
  <c r="BM10" i="9"/>
  <c r="K10" i="9" s="1"/>
  <c r="BQ34" i="9"/>
  <c r="L34" i="9" s="1"/>
  <c r="C36" i="9"/>
  <c r="BF8" i="9"/>
  <c r="J8" i="9" s="1"/>
  <c r="CL29" i="9"/>
  <c r="R29" i="9" s="1"/>
  <c r="D29" i="9" s="1"/>
  <c r="AZ33" i="9"/>
  <c r="H33" i="9" s="1"/>
  <c r="BF28" i="9"/>
  <c r="J28" i="9" s="1"/>
  <c r="BF10" i="9"/>
  <c r="J10" i="9" s="1"/>
  <c r="BQ37" i="9"/>
  <c r="L37" i="9" s="1"/>
  <c r="BM30" i="9"/>
  <c r="K30" i="9" s="1"/>
  <c r="D15" i="9"/>
  <c r="S9" i="9"/>
  <c r="CL17" i="9"/>
  <c r="R17" i="9" s="1"/>
  <c r="AF22" i="9"/>
  <c r="E22" i="9" s="1"/>
  <c r="CL25" i="9"/>
  <c r="R25" i="9" s="1"/>
  <c r="AZ30" i="9"/>
  <c r="H30" i="9" s="1"/>
  <c r="BM17" i="9"/>
  <c r="K17" i="9" s="1"/>
  <c r="BF13" i="9"/>
  <c r="J13" i="9" s="1"/>
  <c r="BF37" i="9"/>
  <c r="J37" i="9" s="1"/>
  <c r="BM31" i="9"/>
  <c r="K31" i="9" s="1"/>
  <c r="AZ37" i="9"/>
  <c r="H37" i="9" s="1"/>
  <c r="AF19" i="9"/>
  <c r="E19" i="9" s="1"/>
  <c r="BF20" i="9"/>
  <c r="J20" i="9" s="1"/>
  <c r="BM12" i="9"/>
  <c r="K12" i="9" s="1"/>
  <c r="CL7" i="9"/>
  <c r="R7" i="9" s="1"/>
  <c r="CL31" i="9"/>
  <c r="R31" i="9" s="1"/>
  <c r="D32" i="9"/>
  <c r="CL24" i="9"/>
  <c r="R24" i="9" s="1"/>
  <c r="C28" i="9"/>
  <c r="S28" i="9"/>
  <c r="AZ20" i="9"/>
  <c r="H20" i="9" s="1"/>
  <c r="AF35" i="9"/>
  <c r="E35" i="9" s="1"/>
  <c r="CL12" i="9"/>
  <c r="R12" i="9" s="1"/>
  <c r="AZ8" i="9"/>
  <c r="H8" i="9" s="1"/>
  <c r="AZ35" i="9"/>
  <c r="H35" i="9" s="1"/>
  <c r="CL27" i="9"/>
  <c r="R27" i="9" s="1"/>
  <c r="BF11" i="9"/>
  <c r="J11" i="9" s="1"/>
  <c r="AZ19" i="9"/>
  <c r="H19" i="9" s="1"/>
  <c r="BQ35" i="9"/>
  <c r="L35" i="9" s="1"/>
  <c r="BM11" i="9"/>
  <c r="K11" i="9" s="1"/>
  <c r="BF30" i="9"/>
  <c r="J30" i="9" s="1"/>
  <c r="AF12" i="9"/>
  <c r="E12" i="9" s="1"/>
  <c r="BM8" i="9"/>
  <c r="K8" i="9" s="1"/>
  <c r="AZ25" i="9"/>
  <c r="H25" i="9" s="1"/>
  <c r="C25" i="9" s="1"/>
  <c r="BM13" i="9"/>
  <c r="K13" i="9" s="1"/>
  <c r="D26" i="9"/>
  <c r="C26" i="9"/>
  <c r="S26" i="9"/>
  <c r="CL20" i="9"/>
  <c r="R20" i="9" s="1"/>
  <c r="BM33" i="9"/>
  <c r="K33" i="9" s="1"/>
  <c r="CL8" i="9"/>
  <c r="R8" i="9" s="1"/>
  <c r="BM24" i="9"/>
  <c r="K24" i="9" s="1"/>
  <c r="AZ31" i="9"/>
  <c r="H31" i="9" s="1"/>
  <c r="BM20" i="9"/>
  <c r="K20" i="9" s="1"/>
  <c r="BM18" i="9"/>
  <c r="K18" i="9" s="1"/>
  <c r="AZ18" i="9"/>
  <c r="H18" i="9" s="1"/>
  <c r="CL13" i="9"/>
  <c r="R13" i="9" s="1"/>
  <c r="CL33" i="9"/>
  <c r="R33" i="9" s="1"/>
  <c r="BF7" i="9"/>
  <c r="J7" i="9" s="1"/>
  <c r="S7" i="9" s="1"/>
  <c r="BF12" i="9"/>
  <c r="J12" i="9" s="1"/>
  <c r="CL10" i="9"/>
  <c r="R10" i="9" s="1"/>
  <c r="BQ10" i="9"/>
  <c r="L10" i="9" s="1"/>
  <c r="AZ17" i="9"/>
  <c r="H17" i="9" s="1"/>
  <c r="AF8" i="9"/>
  <c r="E8" i="9" s="1"/>
  <c r="BQ18" i="9"/>
  <c r="L18" i="9" s="1"/>
  <c r="AZ12" i="9"/>
  <c r="H12" i="9" s="1"/>
  <c r="CL30" i="9"/>
  <c r="R30" i="9" s="1"/>
  <c r="AF11" i="9"/>
  <c r="E11" i="9" s="1"/>
  <c r="G109" i="8"/>
  <c r="J110" i="8" s="1"/>
  <c r="C14" i="9" l="1"/>
  <c r="C18" i="9"/>
  <c r="S21" i="9"/>
  <c r="S30" i="9"/>
  <c r="S29" i="9"/>
  <c r="S18" i="9"/>
  <c r="C30" i="9"/>
  <c r="S37" i="9"/>
  <c r="S17" i="9"/>
  <c r="D31" i="9"/>
  <c r="C21" i="9"/>
  <c r="D34" i="9"/>
  <c r="S24" i="9"/>
  <c r="S16" i="9"/>
  <c r="C7" i="9"/>
  <c r="S14" i="9"/>
  <c r="S10" i="9"/>
  <c r="S31" i="9"/>
  <c r="S20" i="9"/>
  <c r="C29" i="9"/>
  <c r="D37" i="9"/>
  <c r="D10" i="9"/>
  <c r="C10" i="9"/>
  <c r="C31" i="9"/>
  <c r="D24" i="9"/>
  <c r="C16" i="9"/>
  <c r="D30" i="9"/>
  <c r="S25" i="9"/>
  <c r="D16" i="9"/>
  <c r="C20" i="9"/>
  <c r="D21" i="9"/>
  <c r="D25" i="9"/>
  <c r="D20" i="9"/>
  <c r="C37" i="9"/>
  <c r="D18" i="9"/>
  <c r="S13" i="9"/>
  <c r="C34" i="9"/>
  <c r="S34" i="9"/>
  <c r="D13" i="9"/>
  <c r="D27" i="9"/>
  <c r="C27" i="9"/>
  <c r="S27" i="9"/>
  <c r="S12" i="9"/>
  <c r="C12" i="9"/>
  <c r="D12" i="9"/>
  <c r="S22" i="9"/>
  <c r="C22" i="9"/>
  <c r="D22" i="9"/>
  <c r="C13" i="9"/>
  <c r="D11" i="9"/>
  <c r="S11" i="9"/>
  <c r="C11" i="9"/>
  <c r="S8" i="9"/>
  <c r="C8" i="9"/>
  <c r="D8" i="9"/>
  <c r="C24" i="9"/>
  <c r="D17" i="9"/>
  <c r="C17" i="9"/>
  <c r="C35" i="9"/>
  <c r="S35" i="9"/>
  <c r="D35" i="9"/>
  <c r="S19" i="9"/>
  <c r="D19" i="9"/>
  <c r="C19" i="9"/>
  <c r="S33" i="9"/>
  <c r="D33" i="9"/>
  <c r="C33" i="9"/>
  <c r="D7" i="9"/>
  <c r="BE3" i="8"/>
  <c r="BE5" i="8"/>
  <c r="BE4" i="8"/>
  <c r="AF1" i="2"/>
  <c r="AE1" i="2"/>
  <c r="AD1" i="2"/>
  <c r="AC1" i="2"/>
  <c r="AB1" i="2"/>
  <c r="AA1" i="2"/>
  <c r="Y1" i="2"/>
  <c r="X1" i="2"/>
  <c r="W1" i="2"/>
  <c r="V1" i="2"/>
  <c r="U1" i="2"/>
  <c r="T1" i="2"/>
  <c r="S1" i="2"/>
  <c r="Q1" i="2"/>
  <c r="P1" i="2"/>
  <c r="O1" i="2"/>
  <c r="N1" i="2"/>
  <c r="M1" i="2"/>
  <c r="L1" i="2"/>
  <c r="K1" i="2"/>
  <c r="J1" i="2"/>
  <c r="I1" i="2"/>
  <c r="H1" i="2"/>
  <c r="G1" i="2"/>
  <c r="F1" i="2"/>
  <c r="E1" i="2"/>
  <c r="D1" i="2"/>
  <c r="C1" i="2"/>
  <c r="B1" i="2"/>
  <c r="A1" i="2"/>
  <c r="I13" i="1"/>
  <c r="H13" i="1"/>
  <c r="G13" i="1"/>
  <c r="F13" i="1"/>
  <c r="E13" i="1"/>
  <c r="D13" i="1"/>
  <c r="C13" i="1"/>
  <c r="B13" i="1"/>
  <c r="K10" i="1"/>
  <c r="K4" i="1"/>
  <c r="C4" i="1"/>
  <c r="C8" i="1" l="1"/>
  <c r="C15" i="1"/>
  <c r="G5" i="1"/>
  <c r="C19" i="1"/>
  <c r="H19" i="1" s="1"/>
  <c r="C18" i="1"/>
  <c r="D18" i="1" s="1"/>
  <c r="C17" i="1"/>
  <c r="C16" i="1"/>
  <c r="I16" i="1" s="1"/>
  <c r="G8" i="1"/>
  <c r="C24" i="1"/>
  <c r="G11" i="1"/>
  <c r="C7" i="1"/>
  <c r="D7" i="1"/>
  <c r="I19" i="1" l="1"/>
  <c r="E19" i="1"/>
  <c r="D19" i="1"/>
  <c r="F19" i="1"/>
  <c r="G19" i="1" s="1"/>
  <c r="E18" i="1"/>
  <c r="H16" i="1"/>
  <c r="H18" i="1"/>
  <c r="E16" i="1"/>
  <c r="F18" i="1"/>
  <c r="G18" i="1" s="1"/>
  <c r="D16" i="1"/>
  <c r="I18" i="1"/>
  <c r="F16" i="1"/>
  <c r="G16" i="1" s="1"/>
  <c r="D15" i="1"/>
  <c r="I15" i="1"/>
  <c r="F15" i="1"/>
  <c r="E15" i="1"/>
  <c r="H15" i="1"/>
  <c r="I17" i="1"/>
  <c r="H17" i="1"/>
  <c r="F17" i="1"/>
  <c r="G17" i="1" s="1"/>
  <c r="E17" i="1"/>
  <c r="D17" i="1"/>
  <c r="G15" i="1" l="1"/>
  <c r="C21" i="1" s="1"/>
  <c r="C22" i="1" s="1"/>
  <c r="C23" i="1"/>
</calcChain>
</file>

<file path=xl/sharedStrings.xml><?xml version="1.0" encoding="utf-8"?>
<sst xmlns="http://schemas.openxmlformats.org/spreadsheetml/2006/main" count="25355" uniqueCount="7258">
  <si>
    <t>MOTEUR C4 — correction de réponses ouvertes sur les protéines végétales</t>
  </si>
  <si>
    <t>C4 = question ouverte. B10 = réponse à analyser. Le score est indicatif : il repère les idées attendues, mais le formateur garde l’arbitrage final.</t>
  </si>
  <si>
    <t>N° question ►</t>
  </si>
  <si>
    <t xml:space="preserve">Choisir 1 à 150. La question se charge en C4. </t>
  </si>
  <si>
    <t>x</t>
  </si>
  <si>
    <t>ID effectif</t>
  </si>
  <si>
    <t>Question ouverte en C4 ►</t>
  </si>
  <si>
    <t>Meilleures réponses avec déclencheurs</t>
  </si>
  <si>
    <t>Niveau ►</t>
  </si>
  <si>
    <t>Professionnel - Meilleure réponse</t>
  </si>
  <si>
    <t>Thème ►</t>
  </si>
  <si>
    <t>▼ Réponse ouverte à analyser — saisir ici la réponse de l’élève dans ce cadre / apprenant / professionnel</t>
  </si>
  <si>
    <t>Réponse normalisée</t>
  </si>
  <si>
    <t>Réponse solide attendue : Cycle de menus / diversification ; Plat complet / composition ; Argumentation / justification ; Sources de protéines végétales ; Contexte restauration collective. La réponse doit rester concrète, reliée à la restauration collective et justifiée par au moins un exemple.</t>
  </si>
  <si>
    <t>CFA - Meilleure réponse</t>
  </si>
  <si>
    <t>N°</t>
  </si>
  <si>
    <t>Clé critère</t>
  </si>
  <si>
    <t>Critère évalué</t>
  </si>
  <si>
    <t>Points max</t>
  </si>
  <si>
    <t>Détection</t>
  </si>
  <si>
    <t>Points</t>
  </si>
  <si>
    <t>Attendu</t>
  </si>
  <si>
    <t>Conseil si absent</t>
  </si>
  <si>
    <t>Score /20</t>
  </si>
  <si>
    <t>Pour obtenir la meilleure note, la réponse doit traiter clairement les critères évalués.</t>
  </si>
  <si>
    <t>Diagnostic  ►</t>
  </si>
  <si>
    <t>Conseil prioritaire  ►</t>
  </si>
  <si>
    <t>Réponse attendue synthétique   ►</t>
  </si>
  <si>
    <t>Décision formateur  ►</t>
  </si>
  <si>
    <t>Le score aide à corriger, mais ne remplace pas l’analyse professionnelle du formateur.</t>
  </si>
  <si>
    <t>Limite du moteur  ►</t>
  </si>
  <si>
    <t>Détection par mots-clés : enrichir le dictionnaire si les élèves utilisent d’autres formulations.</t>
  </si>
  <si>
    <t>Niveau</t>
  </si>
  <si>
    <t>Thème</t>
  </si>
  <si>
    <t>Questions ouvertes</t>
  </si>
  <si>
    <t xml:space="preserve">Réponses solides attendues : </t>
  </si>
  <si>
    <t>Réponses Professionnelles (même score attendu)</t>
  </si>
  <si>
    <t>Critères déclencheurs intégrés</t>
  </si>
  <si>
    <t>Réponse jeune CFA terrain (même score attendu)</t>
  </si>
  <si>
    <t>CFA</t>
  </si>
  <si>
    <t>Acceptabilité</t>
  </si>
  <si>
    <t>Pourquoi certains convives peuvent refuser un plat végétal même s’il est équilibré ?</t>
  </si>
  <si>
    <t>Réponse solide attendue : Satisfaction / acceptabilité ; Non-goûts / refus ; Lecture nutritionnelle ; Sources de protéines végétales ; Contexte restauration collective. La réponse doit rester concrète, reliée à la restauration collective et justifiée par au moins un exemple.</t>
  </si>
  <si>
    <t>L’acceptabilité dépend du goût, de la texture, des habitudes alimentaires, du public concerné et de la présentation. Il faut distinguer un refus réel, un non-goût, une méconnaissance du plat ou une portion mal adaptée. Les avis et les retours assiette permettent d’ajuster la recette.</t>
  </si>
  <si>
    <t>SATISFACTION_ACCEPTABILITE ; NON_GOUTS ; NUTRITION ; SOURCE_PROTEINES ; COLLECTIF</t>
  </si>
  <si>
    <t>L’acceptabilité dépend du goût, de la texture, des habitudes et des préférences du public. Certains convives peuvent refuser un plat végétal par non-goût ou par manque d’habitude. Il faut donc écouter les avis, regarder les restes et adapter la recette.</t>
  </si>
  <si>
    <t>Allergène gluten</t>
  </si>
  <si>
    <t>Pourquoi le seitan ne peut-il pas être servi sans information allergène claire ?</t>
  </si>
  <si>
    <t>Réponse solide attendue : Allergène gluten / seitan ; Information réglementaire / affichage ; Sources de protéines végétales ; Argumentation / justification ; Plat complet / composition. La réponse doit rester concrète, reliée à la restauration collective et justifiée par au moins un exemple.</t>
  </si>
  <si>
    <t>Si la recette utilise du gluten, du blé, du seitan ou une préparation contenant du gluten, l’information allergène doit être claire avant le service. Il faut aussi prévoir, si possible, une alternative sans gluten pour les convives concernés.</t>
  </si>
  <si>
    <t>ALLERGENE_GLUTEN_SEITAN ; REGLEMENTAIRE_INFO ; SOURCE_PROTEINES ; ARGUMENTATION ; PLAT_COMPLET</t>
  </si>
  <si>
    <t>SI($K$4="";"";INDEX(Questions_150!$ab$3:$ab$450;EQUIV($K$4;Questions_150!$aa$3:$aa$450;0)))</t>
  </si>
  <si>
    <t>Si on utilise du seitan, du blé ou un produit contenant du gluten, il faut prévenir clairement les convives. L’étiquette, l’affichage et l’information allergène doivent être lisibles avant le service. Une alternative sans gluten peut être prévue si nécessaire.</t>
  </si>
  <si>
    <t>Allergène lupin</t>
  </si>
  <si>
    <t>Expliquez pourquoi le lupin doit être signalé quand il est utilisé dans une recette.</t>
  </si>
  <si>
    <t>Réponse solide attendue : Allergène lupin ; Sources de protéines végétales ; Argumentation / justification ; Plat complet / composition ; Contexte restauration collective. La réponse doit rester concrète, reliée à la restauration collective et justifiée par au moins un exemple.</t>
  </si>
  <si>
    <t>Le lupin est un allergène à signaler clairement. Si une recette contient de la farine de lupin, des graines de lupin ou un ingrédient dérivé, l’information doit apparaître sur l’étiquette, l’affichage ou la fiche de production avant le service.</t>
  </si>
  <si>
    <t>ALLERGENE_LUPIN ; SOURCE_PROTEINES ; ARGUMENTATION ; PLAT_COMPLET ; COLLECTIF</t>
  </si>
  <si>
    <t>Si une recette contient du lupin, il faut le signaler comme allergène sur l’affichage ou l’étiquette. Même dans un plat végétal avec légumineuse, céréale, légume et sauce, l’information allergène doit être visible avant le service.</t>
  </si>
  <si>
    <t>Allergène soja</t>
  </si>
  <si>
    <t>Expliquez pourquoi il faut faire attention quand on utilise du soja, du tofu ou des protéines de soja.</t>
  </si>
  <si>
    <t>Réponse solide attendue : Allergène soja ; Sources de protéines végétales ; Argumentation / justification ; Plat complet / composition ; Contexte restauration collective. La réponse doit rester concrète, reliée à la restauration collective et justifiée par au moins un exemple.</t>
  </si>
  <si>
    <t>Si la recette contient du soja, du tofu, du tempeh, des protéines de soja ou des PST, l’allergène soja doit être clairement signalé. L’information doit apparaître sur l’étiquette, l’affichage ou la fiche de service avant distribution, afin de sécuriser les convives concernés.</t>
  </si>
  <si>
    <t>ALLERGENE_SOJA ; SOURCE_PROTEINES ; ARGUMENTATION ; PLAT_COMPLET ; COLLECTIF</t>
  </si>
  <si>
    <t>Si la recette contient du soja, du tofu ou des protéines de soja, il faut afficher l’allergène soja. Même si le plat contient aussi des lentilles, pois chiches, haricots ou pois cassés, l’information allergène doit être claire avant le service pour protéger les convives.</t>
  </si>
  <si>
    <t>Allergènes</t>
  </si>
  <si>
    <t>Avant de servir un plat végétal, quels allergènes devez-vous rechercher en priorité ?</t>
  </si>
  <si>
    <t>Réponse solide attendue : Sources de protéines végétales ; Argumentation / justification ; Plat complet / composition ; Contexte restauration collective ; Lecture nutritionnelle. La réponse doit rester concrète, reliée à la restauration collective et justifiée par au moins un exemple.</t>
  </si>
  <si>
    <t>Les allergènes doivent être identifiés avant le service. Le soja, le gluten, le lupin ou le blé doivent être signalés si la recette en contient. L’étiquette, l’affichage et l’information allergène doivent être lisibles pour sécuriser les convives.</t>
  </si>
  <si>
    <t>SOURCE_PROTEINES ; ARGUMENTATION ; PLAT_COMPLET ; COLLECTIF ; NUTRITION</t>
  </si>
  <si>
    <t>Dans un plat végétal, il faut aussi penser aux allergènes. Le soja, le tofu, les protéines de soja, le gluten, le seitan, le blé ou le lupin doivent être signalés si présents. L’affichage et l’étiquette doivent être clairs avant le service.</t>
  </si>
  <si>
    <t>Pourquoi faut-il prévenir si un plat contient tofu, seitan ou lupin ?</t>
  </si>
  <si>
    <t>Réponse solide attendue : Allergène soja ; Allergène gluten / seitan ; Allergène lupin ; Information réglementaire / affichage ; Argumentation / justification. La réponse doit rester concrète, compréhensible terrain et contenir assez de déclencheurs pour que le moteur valide les critères.</t>
  </si>
  <si>
    <t>ALLERGENE_SOJA ; ALLERGENE_GLUTEN_SEITAN ; ALLERGENE_LUPIN ; REGLEMENTAIRE_INFO ; ARGUMENTATION</t>
  </si>
  <si>
    <t>Si la recette contient du soja, du tofu, des protéines de soja, du seitan, du blé, du gluten ou du lupin, il faut afficher les allergènes. L’étiquette et l’affichage doivent être lisibles avant service pour éviter les risques.</t>
  </si>
  <si>
    <t>Amélioration</t>
  </si>
  <si>
    <t>Après un test peu satisfaisant, quelles informations faut-il récupérer avant de modifier la recette ?</t>
  </si>
  <si>
    <t>Réponse solide attendue : Information réglementaire / affichage ; Test / mesure / indicateurs ; Argumentation / justification ; Sources de protéines végétales ; Plat complet / composition. La réponse doit rester concrète, reliée à la restauration collective et justifiée par au moins un exemple.</t>
  </si>
  <si>
    <t>L’amélioration d’un plat végétal doit partir des constats terrain : restes, avis, satisfaction, texture, goût, sauce, température et coût. La décision peut être de maintenir la recette, de la retravailler ou de mettre en place un plan d’action.</t>
  </si>
  <si>
    <t>REGLEMENTAIRE_INFO ; TEST_MESURE ; ARGUMENTATION ; SOURCE_PROTEINES ; PLAT_COMPLET</t>
  </si>
  <si>
    <t>Pour améliorer un plat, je regarde les avis, les restes, la satisfaction, l’étiquette, les allergènes et le retour assiette. Ensuite, je peux retravailler la sauce, le goût, la texture ou la présentation pour rendre le plat plus acceptable.</t>
  </si>
  <si>
    <t>Assaisonnement</t>
  </si>
  <si>
    <t>Comment améliorer un plat de pois chiches jugé fade par les convives ?</t>
  </si>
  <si>
    <t>Réponse solide attendue : Satisfaction / acceptabilité ; Goût / assaisonnement ; Sources de protéines végétales ; Contexte restauration collective ; Argumentation / justification. La réponse doit rester concrète, reliée à la restauration collective et justifiée par au moins un exemple.</t>
  </si>
  <si>
    <t>L’assaisonnement est indispensable pour réussir un plat végétal. Les épices, aromates, marinades et sauces permettent de donner du goût aux lentilles, pois chiches, haricots ou pois cassés. Sans assaisonnement, le plat risque d’être fade et moins accepté par les convives.</t>
  </si>
  <si>
    <t>SATISFACTION_ACCEPTABILITE ; GOUT_ASSAISONNEMENT ; SOURCE_PROTEINES ; COLLECTIF ; ARGUMENTATION</t>
  </si>
  <si>
    <t>L’assaisonnement est indispensable pour qu’un plat végétal soit apprécié. Les lentilles, pois chiches, haricots ou pois cassés doivent être travaillés avec épices, herbes, aromates, marinade ou sauce. Sinon, le plat peut être fade et moins accepté par les convives.</t>
  </si>
  <si>
    <t>Bilan personnel</t>
  </si>
  <si>
    <t>Expliquez ce que vous retenez sur les avantages et les limites des protéines végétales en restauration collective.</t>
  </si>
  <si>
    <t>Réponse solide attendue : Sources de protéines végétales ; Contexte restauration collective ; Argumentation / justification ; Plat complet / composition ; Lecture nutritionnelle. La réponse doit rester concrète, reliée à la restauration collective et justifiée par au moins un exemple.</t>
  </si>
  <si>
    <t>Le bilan doit montrer ce qui fonctionne et ce qui doit être amélioré. Il faut parler de protéines végétales, d’équilibre, de goût, de texture, de sauce, de convives, de coût et de gaspillage. Une bonne analyse relie la recette au résultat terrain.</t>
  </si>
  <si>
    <t>SOURCE_PROTEINES ; COLLECTIF ; ARGUMENTATION ; PLAT_COMPLET ; NUTRITION</t>
  </si>
  <si>
    <t>Dans mon bilan, je dois expliquer ce que j’ai compris : protéines végétales, lentilles, pois chiches, haricots ou pois cassés, équilibre, fibres, fer, sauce, texture, convives et grandes quantités. Je montre aussi ce qu’il faudrait améliorer.</t>
  </si>
  <si>
    <t>Communication</t>
  </si>
  <si>
    <t>Rédigez une phrase simple et positive pour présenter un plat aux lentilles au self.</t>
  </si>
  <si>
    <t>Réponse solide attendue : Communication positive ; Service / présentation / nom du plat ; Sources de protéines végétales ; Contexte restauration collective ; Argumentation / justification. La réponse doit rester concrète, reliée à la restauration collective et justifiée par au moins un exemple.</t>
  </si>
  <si>
    <t>La communication doit présenter le plat végétal de façon positive. Il ne faut pas culpabiliser les convives ni donner l’impression d’une viande supprimée. Il faut valoriser le nom du plat, la recette, le goût, la sauce, la présentation et l’intérêt nutritionnel.</t>
  </si>
  <si>
    <t>COMMUNICATION_POSITIVE ; SERVICE_PRESENTATION ; SOURCE_PROTEINES ; COLLECTIF ; ARGUMENTATION</t>
  </si>
  <si>
    <t>Il faut présenter le plat végétal de manière positive. Le but n’est pas de culpabiliser les convives, mais de leur donner envie. Le nom du plat, le dressage, la présentation, la sauce et les ingrédients comme lentilles, pois chiches ou haricots doivent être clairs et attractifs.</t>
  </si>
  <si>
    <t>Comment annoncer un plat végétal pour donner envie aux élèves de le goûter ?</t>
  </si>
  <si>
    <t>Réponse solide attendue : Communication positive ; Service / présentation / nom du plat ; Recette connue / adaptation ; Contexte restauration collective ; Argumentation / justification. La réponse doit rester concrète, compréhensible terrain et contenir assez de déclencheurs pour que le moteur valide les critères.</t>
  </si>
  <si>
    <t>COMMUNICATION_POSITIVE ; SERVICE_PRESENTATION ; RECETTE_FAMILIERE ; COLLECTIF ; ARGUMENTATION</t>
  </si>
  <si>
    <t>La communication doit donner envie de goûter le plat. Il faut présenter la recette de façon positive, avec un nom clair, une belle présentation et une référence connue comme chili, dhal, bolognaise ou curry. Il ne faut pas culpabiliser les convives.</t>
  </si>
  <si>
    <t>Convives</t>
  </si>
  <si>
    <t>Comment présenter un plat végétal sans donner l’impression de punir les convives ?</t>
  </si>
  <si>
    <t>Réponse solide attendue : Satisfaction / acceptabilité ; Communication positive ; Sources de protéines végétales ; Contexte restauration collective ; Argumentation / justification. La réponse doit rester concrète, reliée à la restauration collective et justifiée par au moins un exemple.</t>
  </si>
  <si>
    <t>Les convives doivent être au centre du choix de recette. Un plat végétal doit être équilibré, mais aussi bon, lisible, bien présenté et adapté aux habitudes du public. Les avis, la satisfaction et les retours assiette permettent de savoir si le plat fonctionne vraiment.</t>
  </si>
  <si>
    <t>SATISFACTION_ACCEPTABILITE ; COMMUNICATION_POSITIVE ; SOURCE_PROTEINES ; COLLECTIF ; ARGUMENTATION</t>
  </si>
  <si>
    <t>Les convives doivent être au centre de la réflexion. Un plat végétal doit être bon, bien présenté, clair et adapté au public. Les avis, la satisfaction, les refus, les non-goûts et les retours assiette permettent de savoir si la recette fonctionne.</t>
  </si>
  <si>
    <t>Coût portion</t>
  </si>
  <si>
    <t>Expliquez avec des mots simples ce que signifie le coût portion.</t>
  </si>
  <si>
    <t>Réponse solide attendue : Coût / prix / budget ; Argumentation / justification ; Sources de protéines végétales ; Plat complet / composition ; Contexte restauration collective. La réponse doit rester concrète, reliée à la restauration collective et justifiée par au moins un exemple.</t>
  </si>
  <si>
    <t>Le coût portion doit prendre en compte la matière première, le grammage, les achats, le temps de production, les pertes et les restes. Les légumineuses peuvent être intéressantes économiquement, mais seulement si la recette est acceptée et consommée par les convives.</t>
  </si>
  <si>
    <t>COUT ; ARGUMENTATION ; SOURCE_PROTEINES ; PLAT_COMPLET ; COLLECTIF</t>
  </si>
  <si>
    <t>Le coût portion dépend du prix des ingrédients, du grammage, des achats, du temps de préparation et des pertes. Les lentilles, pois chiches, haricots ou pois cassés peuvent être intéressants, mais il faut vérifier que le plat complet est accepté et consommé.</t>
  </si>
  <si>
    <t>Coût réel</t>
  </si>
  <si>
    <t>Pourquoi un plat végétal pas cher peut finalement coûter plus cher s’il est jeté ?</t>
  </si>
  <si>
    <t>Réponse solide attendue : Coût / prix / budget ; Gaspillage / retours assiette ; Satisfaction / acceptabilité ; Argumentation / justification ; Contexte restauration collective. La réponse doit rester concrète, compréhensible terrain et contenir assez de déclencheurs pour que le moteur valide les critères.</t>
  </si>
  <si>
    <t>Le coût réel inclut les achats, le prix portion, le temps de production, les pertes, les restes et la satisfaction. Un plat végétal moins cher à produire n’est pas rentable s’il est peu consommé ou s’il génère beaucoup de retour assiette.</t>
  </si>
  <si>
    <t>COUT ; GASPILLAGE_RESTES ; SATISFACTION_ACCEPTABILITE ; ARGUMENTATION ; COLLECTIF</t>
  </si>
  <si>
    <t>Le coût réel ne se limite pas au prix des ingrédients. Je regarde le coût portion, la matière, les achats, le budget, les pertes, les restes, la satisfaction et le retour assiette. Un plat rentable doit être consommé.</t>
  </si>
  <si>
    <t>Cuisine collective</t>
  </si>
  <si>
    <t>Proposez une idée de plat végétal facile à produire en grande quantité.</t>
  </si>
  <si>
    <t>En cuisine collective, un plat végétal doit être pensé pour de grandes quantités, le maintien au chaud, le self, le service et les convives. Les lentilles, pois chiches, haricots ou pois cassés peuvent fonctionner, mais la recette doit rester goûteuse, lisible, équilibrée et facile à servir.</t>
  </si>
  <si>
    <t>En cuisine collective, il faut penser aux grandes quantités, au self, au service et aux convives. Un plat à base de lentilles, pois chiches, haricots ou pois cassés doit être complet, avec légumineuse, céréale, légume et sauce, mais aussi bon, équilibré et facile à servir.</t>
  </si>
  <si>
    <t>Cuisson</t>
  </si>
  <si>
    <t>Explique pourquoi une mauvaise cuisson peut rendre des légumineuses désagréables à manger.</t>
  </si>
  <si>
    <t>Réponse solide attendue : Cuisson / tenue au chaud ; Plat complet / composition ; Argumentation / justification ; Sources de protéines végétales ; Contexte restauration collective. La réponse doit rester concrète, reliée à la restauration collective et justifiée par au moins un exemple.</t>
  </si>
  <si>
    <t>La cuisson doit être maîtrisée pour garder une bonne texture. Les légumineuses trop cuites deviennent farineuses, et les plats végétaux mal réchauffés peuvent sécher. Il faut contrôler cuisson, maintien au chaud, température, sauce et qualité après 45 minutes de service.</t>
  </si>
  <si>
    <t>CUISSON_TENUE ; PLAT_COMPLET ; ARGUMENTATION ; SOURCE_PROTEINES ; COLLECTIF</t>
  </si>
  <si>
    <t>La cuisson doit être bien contrôlée, surtout avec les légumineuses. Si les lentilles, pois chiches ou pois cassés sont trop cuits, la texture peut devenir farineuse. Je vérifie aussi le maintien au chaud, le réchauffage, la sauce et l’état du plat après 45 minutes de service.</t>
  </si>
  <si>
    <t>Cycle menu</t>
  </si>
  <si>
    <t>Pourquoi faut-il varier les sources végétales dans un cycle de menus ?</t>
  </si>
  <si>
    <t>Réponse solide attendue : Cycle de menus / diversification ; Sources de protéines végétales ; Argumentation / justification ; Plat complet / composition ; Contexte restauration collective. La réponse doit rester concrète, reliée à la restauration collective et justifiée par au moins un exemple.</t>
  </si>
  <si>
    <t>Le cycle de menu doit éviter la répétition. Il faut varier les sources de protéines végétales : lentilles, pois chiches, haricots, pois cassés, soja, tofu ou tempeh. La diversification améliore l’équilibre, l’acceptabilité et l’intérêt des convives.</t>
  </si>
  <si>
    <t>MENU_CYCLE ; SOURCE_PROTEINES ; ARGUMENTATION ; PLAT_COMPLET ; COLLECTIF</t>
  </si>
  <si>
    <t>Sur un cycle de menu, il faut varier les recettes pour éviter la répétition. On peut alterner lentilles, pois chiches, haricots, pois cassés, tofu ou soja. Les plats doivent rester complets, équilibrés, bien présentés et adaptés aux convives.</t>
  </si>
  <si>
    <t>Pourquoi faut-il varier lentilles, pois chiches, haricots et tofu dans le cycle des menus ?</t>
  </si>
  <si>
    <t>Réponse solide attendue : Cycle de menus / diversification ; Sources de protéines végétales ; Plat complet / composition ; Lecture nutritionnelle ; Argumentation / justification. La réponse doit rester concrète, compréhensible terrain et contenir assez de déclencheurs pour que le moteur valide les critères.</t>
  </si>
  <si>
    <t>MENU_CYCLE ; SOURCE_PROTEINES ; PLAT_COMPLET ; NUTRITION ; ARGUMENTATION</t>
  </si>
  <si>
    <t>Le cycle de menu doit varier les recettes pour éviter la répétition. Je peux utiliser lentilles, pois chiches, haricots, pois cassés, tofu ou soja. Il faut garder un plat complet avec légumineuse, céréale, légume, sauce et équilibre nutritionnel.</t>
  </si>
  <si>
    <t>Définition simple</t>
  </si>
  <si>
    <t>Expliquez avec vos mots pourquoi les lentilles, les pois chiches ou les haricots peuvent remplacer une partie de la viande dans un repas.</t>
  </si>
  <si>
    <t>Une protéine végétale vient d’aliments comme les lentilles, les pois chiches, les haricots ou les pois cassés. Elle peut remplacer une partie de la viande si le plat reste complet, avec une légumineuse, une céréale, un légume et une sauce. En collectivité, il faut penser au goût, aux convives, au self, au service et aux grandes quantités.</t>
  </si>
  <si>
    <t>Une protéine végétale peut venir des lentilles, des pois chiches, des haricots ou des pois cassés. Pour que la réponse soit complète, je ne fais pas seulement une liste : j’explique que ces aliments apportent des protéines, des fibres, du fer, de l’équilibre et de la satiété. Pour un vrai plat, je les associe avec une céréale, un légume et une sauce, en pensant au self, aux convives et aux grandes quantités.</t>
  </si>
  <si>
    <t>Diversification</t>
  </si>
  <si>
    <t>Citez trois façons différentes de proposer des protéines végétales sur une semaine.</t>
  </si>
  <si>
    <t>Réponse solide attendue : Cycle de menus / diversification ; Lecture nutritionnelle ; Sources de protéines végétales ; Exemples cités ; Argumentation / justification. La réponse doit rester concrète, reliée à la restauration collective et justifiée par au moins un exemple.</t>
  </si>
  <si>
    <t>La diversification permet d’éviter la lassitude. Il faut varier les légumineuses, les céréales, les sauces, les légumes et les recettes. Un cycle bien construit peut proposer lentilles, pois chiches, haricots, tofu ou soja sans donner l’impression de répétition.</t>
  </si>
  <si>
    <t>MENU_CYCLE ; NUTRITION ; SOURCE_PROTEINES ; EXEMPLES ; ARGUMENTATION</t>
  </si>
  <si>
    <t>La diversification évite de servir toujours le même plat végétal. Je peux varier les légumineuses, les céréales, les légumes, les sauces et les recettes. Par exemple : lentilles, pois chiches, haricots, tofu ou soja selon le menu.</t>
  </si>
  <si>
    <t>EHPAD</t>
  </si>
  <si>
    <t>Comment adapter un plat végétal pour une personne âgée ayant besoin d’une texture plus souple ?</t>
  </si>
  <si>
    <t>Réponse solide attendue : Texture / mâche ; Adaptation EHPAD / textures ; Sources de protéines végétales ; Argumentation / justification ; Plat complet / composition. La réponse doit rester concrète, reliée à la restauration collective et justifiée par au moins un exemple.</t>
  </si>
  <si>
    <t>En EHPAD, un plat végétal doit tenir compte de la texture, de la mastication, du goût et de la sécurité alimentaire. On peut prévoir une texture modifiée, mixée, onctueuse ou manger-main. La sauce, le moelleux, la température et l’équilibre nutritionnel sont essentiels.</t>
  </si>
  <si>
    <t>TEXTURE_MACHE ; EHPAD_TEXTURE ; SOURCE_PROTEINES ; ARGUMENTATION ; PLAT_COMPLET</t>
  </si>
  <si>
    <t>En EHPAD, il faut adapter le plat aux personnes âgées. La texture doit être moelleuse, mixée, onctueuse, modifiée ou en manger-main selon les besoins. Les protéines végétales doivent rester équilibrées, faciles à manger et servies avec assez de sauce.</t>
  </si>
  <si>
    <t>Comment adapter un plat végétal pour des résidents en EHPAD ?</t>
  </si>
  <si>
    <t>Réponse solide attendue : Adaptation EHPAD / textures ; Texture / mâche ; Sauce / moelleux ; Lecture nutritionnelle ; Hygiène / HACCP / sécurité sanitaire. La réponse doit rester concrète, compréhensible terrain et contenir assez de déclencheurs pour que le moteur valide les critères.</t>
  </si>
  <si>
    <t>EHPAD_TEXTURE ; TEXTURE_MACHE ; SAUCE_MOELLEUX ; NUTRITION ; HYGIENE_HACCP</t>
  </si>
  <si>
    <t>En EHPAD, il faut penser aux personnes âgées, à la texture modifiée, mixée, onctueuse ou manger-main. Le plat doit rester équilibré avec protéines, fibres, fer et satiété, tout en respectant l’hygiène, l’HACCP, les températures et la traçabilité.</t>
  </si>
  <si>
    <t>Équilibre</t>
  </si>
  <si>
    <t>Pourquoi ne suffit-il pas de retirer la viande pour créer un bon plat végétal ?</t>
  </si>
  <si>
    <t>Réponse solide attendue : Lecture nutritionnelle ; Sources de protéines végétales ; Argumentation / justification ; Plat complet / composition ; Contexte restauration collective. La réponse doit rester concrète, reliée à la restauration collective et justifiée par au moins un exemple.</t>
  </si>
  <si>
    <t>Un plat végétal équilibré doit apporter protéines végétales, fibres, fer, satiété et variété. L’association légumineuse, céréale, légume et sauce permet d’obtenir un plat plus complet. En collectivité, l’équilibre nutritionnel doit rester compatible avec le goût et l’acceptation des convives.</t>
  </si>
  <si>
    <t>NUTRITION ; SOURCE_PROTEINES ; ARGUMENTATION ; PLAT_COMPLET ; COLLECTIF</t>
  </si>
  <si>
    <t>Je dois montrer que je comprends l’équilibre d’un plat. Je parle de protéines, fibres, fer, satiété et nutrition. Je cite une protéine végétale comme lentilles, pois chiches, haricots ou pois cassés, puis je construis un plat complet avec légumineuse, céréale, légume et sauce.</t>
  </si>
  <si>
    <t>Étiquette</t>
  </si>
  <si>
    <t>Pourquoi une étiquette allergène doit-elle être simple, visible et exacte ?</t>
  </si>
  <si>
    <t>Réponse solide attendue : Information réglementaire / affichage ; Argumentation / justification ; Sources de protéines végétales ; Plat complet / composition ; Contexte restauration collective. La réponse doit rester concrète, reliée à la restauration collective et justifiée par au moins un exemple.</t>
  </si>
  <si>
    <t>L’étiquette doit indiquer clairement les allergènes, le nom du plat et les informations utiles avant service. Pour une recette végétale, il faut signaler soja, gluten, lupin ou blé si présents. Une information lisible évite les erreurs et sécurise la distribution.</t>
  </si>
  <si>
    <t>REGLEMENTAIRE_INFO ; ARGUMENTATION ; SOURCE_PROTEINES ; PLAT_COMPLET ; COLLECTIF</t>
  </si>
  <si>
    <t>L’étiquette doit donner les informations importantes avant le service. Elle doit indiquer le nom du plat et les allergènes comme soja, gluten, blé ou lupin si la recette en contient. Un affichage lisible protège les convives et évite les erreurs.</t>
  </si>
  <si>
    <t>Fautes terrain</t>
  </si>
  <si>
    <t>Que peut-on comprendre dans une réponse avec des fautes : "le tofu a pas de gout sans sauce" ?</t>
  </si>
  <si>
    <t>Réponse solide attendue : Allergène soja ; Goût / assaisonnement ; Sauce / moelleux ; Sources de protéines végétales ; Argumentation / justification. La réponse doit rester concrète, compréhensible terrain et contenir assez de déclencheurs pour que le moteur valide les critères.</t>
  </si>
  <si>
    <t>Les fautes fréquentes sont un plat trop sec, trop fade, mal signalé ou mal présenté. Il faut vérifier la sauce, l’assaisonnement, les allergènes comme le soja ou le gluten, la texture, la température et l’information donnée aux convives.</t>
  </si>
  <si>
    <t>ALLERGENE_SOJA ; GOUT_ASSAISONNEMENT ; SAUCE_MOELLEUX ; SOURCE_PROTEINES ; ARGUMENTATION</t>
  </si>
  <si>
    <t>Les fautes terrain les plus courantes sont un plat trop sec, trop fade, mal présenté ou avec un allergène mal signalé. S’il y a soja, tofu ou protéines de soja, il faut afficher l’allergène soja. Il faut aussi travailler la sauce et le goût.</t>
  </si>
  <si>
    <t>Fer</t>
  </si>
  <si>
    <t>Pourquoi faut-il penser au fer dans un repas végétal ?</t>
  </si>
  <si>
    <t>Les lentilles, pois chiches, haricots et pois cassés apportent du fer d’origine végétale. Pour valoriser cet apport, il faut construire un plat complet, lisible et consommé. La nutrition seule ne suffit pas : le goût, la sauce, la texture et la présentation comptent aussi.</t>
  </si>
  <si>
    <t>Les lentilles, pois chiches, haricots et pois cassés apportent du fer d’origine végétale. Pour que ce soit utile, il faut les intégrer dans un plat complet avec céréale, légume et sauce. La nutrition compte, mais le plat doit aussi être mangé par les convives.</t>
  </si>
  <si>
    <t>Fèves</t>
  </si>
  <si>
    <t>Expliquez comment les fèves peuvent être intégrées dans une recette collective.</t>
  </si>
  <si>
    <t>Les fèves peuvent enrichir un plat végétal grâce à leur apport en protéines végétales, fibres et fer. Elles doivent être intégrées dans une recette complète avec céréale, légume, sauce et assaisonnement. En collectivité, il faut aussi vérifier l’acceptabilité auprès des convives.</t>
  </si>
  <si>
    <t>Les fèves sont aussi une source de protéine végétale. Elles peuvent compléter un plat avec légumineuse, céréale, légume et sauce. En collectivité, il faut penser au goût, à la texture, aux convives et aux grandes quantités.</t>
  </si>
  <si>
    <t>Fibres</t>
  </si>
  <si>
    <t>Expliquez pourquoi les légumineuses apportent souvent plus de fibres qu’un plat carné classique.</t>
  </si>
  <si>
    <t>Réponse solide attendue : Lecture nutritionnelle ; Plat complet / composition ; Argumentation / justification ; Sources de protéines végétales ; Contexte restauration collective. La réponse doit rester concrète, reliée à la restauration collective et justifiée par au moins un exemple.</t>
  </si>
  <si>
    <t>Les légumineuses apportent naturellement des fibres, ce qui améliore la satiété et l’intérêt nutritionnel du plat. Il faut cependant veiller à l’acceptabilité, car un plat riche en fibres doit rester agréable, bien cuit, bien assaisonné et adapté au public servi.</t>
  </si>
  <si>
    <t>NUTRITION ; PLAT_COMPLET ; ARGUMENTATION ; SOURCE_PROTEINES ; COLLECTIF</t>
  </si>
  <si>
    <t>Les fibres sont importantes dans les légumineuses comme les lentilles, pois chiches, haricots ou pois cassés. Elles participent à la satiété et à l’équilibre du repas. Mais le plat doit aussi rester bon, bien cuit, bien assaisonné et adapté aux convives.</t>
  </si>
  <si>
    <t>Formation</t>
  </si>
  <si>
    <t>Expliquez ce que vous devriez vérifier sur une fiche technique de plat végétal.</t>
  </si>
  <si>
    <t>Réponse solide attendue : Organisation / production ; Sources de protéines végétales ; Contrôle qualité avant service ; Argumentation / justification ; Plat complet / composition. La réponse doit rester concrète, reliée à la restauration collective et justifiée par au moins un exemple.</t>
  </si>
  <si>
    <t>En formation, il faut expliquer la logique complète : choix de la protéine végétale, équilibre nutritionnel, sauce, texture, allergènes, coût, production et satisfaction des convives. L’objectif est que le jeune comprenne le lien entre recette, service et résultat terrain.</t>
  </si>
  <si>
    <t>ORGANISATION_PROD ; SOURCE_PROTEINES ; QUALITE ; ARGUMENTATION ; PLAT_COMPLET</t>
  </si>
  <si>
    <t>En formation, je dois comprendre toute la logique : choisir une protéine végétale, construire un plat complet, vérifier la sauce, la texture, le coût, les allergènes et la satisfaction. Le but est de relier la recette au vrai service terrain.</t>
  </si>
  <si>
    <t>Gaspillage</t>
  </si>
  <si>
    <t>Que pouvez vous proposer si un plat végétal revient souvent à la plonge presque intact ?</t>
  </si>
  <si>
    <t>Réponse solide attendue : Gaspillage / retours assiette ; Sources de protéines végétales ; Argumentation / justification ; Plat complet / composition ; Contexte restauration collective. La réponse doit rester concrète, reliée à la restauration collective et justifiée par au moins un exemple.</t>
  </si>
  <si>
    <t>Pour limiter le gaspillage, il faut suivre les restes, les pertes et le retour assiette. Si un plat végétal revient souvent non consommé, il faut analyser le goût, la texture, la sauce, la présentation et la quantité servie. Les avis des convives permettent ensuite de retravailler la recette.</t>
  </si>
  <si>
    <t>GASPILLAGE_RESTES ; SOURCE_PROTEINES ; ARGUMENTATION ; PLAT_COMPLET ; COLLECTIF</t>
  </si>
  <si>
    <t>Pour limiter le gaspillage, je regarde les restes, les pertes et le retour assiette. Si un plat avec lentilles, pois chiches, haricots ou pois cassés revient souvent non mangé, il faut chercher pourquoi : goût, sauce, texture, portion, présentation ou manque d’habitude des convives.</t>
  </si>
  <si>
    <t>Que proposez-vous si beaucoup de lentilles reviennent dans les assiettes au self ?</t>
  </si>
  <si>
    <t>Réponse solide attendue : Gaspillage / retours assiette ; Satisfaction / acceptabilité ; Texture / mâche ; Sauce / moelleux ; Test / mesure / indicateurs. La réponse doit rester concrète, compréhensible terrain et contenir assez de déclencheurs pour que le moteur valide les critères.</t>
  </si>
  <si>
    <t>GASPILLAGE_RESTES ; SATISFACTION_ACCEPTABILITE ; TEXTURE_MACHE ; SAUCE_MOELLEUX ; TEST_MESURE</t>
  </si>
  <si>
    <t>Pour comprendre le gaspillage, je regarde les restes, le retour assiette, les avis des convives et la satisfaction. Si le plat est trop sec, fade ou mal présenté, il faut retravailler la sauce, la texture, le goût et la portion.</t>
  </si>
  <si>
    <t>Goût</t>
  </si>
  <si>
    <t>Pourquoi un plat végétal doit-il être bien assaisonné pour être accepté par les convives ?</t>
  </si>
  <si>
    <t>Un plat végétal doit être travaillé au niveau du goût. Les lentilles, pois chiches ou haricots peuvent être bons, mais ils demandent un assaisonnement précis avec épices, aromates, marinade ou sauce. En collectivité, le goût conditionne directement la satisfaction, les avis des convives et le retour assiette.</t>
  </si>
  <si>
    <t>Un plat végétal doit avoir du goût pour être accepté. Les lentilles, pois chiches, haricots ou pois cassés doivent être bien assaisonnés avec des épices, des herbes, des aromates ou une marinade. Je pense aussi aux convives, car leur avis permet de mesurer la satisfaction et l’acceptabilité du plat.</t>
  </si>
  <si>
    <t>Goûts et non-goûts</t>
  </si>
  <si>
    <t>Comment tenir compte des aliments que les convives n’aiment pas dans un plat végétal ?</t>
  </si>
  <si>
    <t>Réponse solide attendue : Satisfaction / acceptabilité ; Goût / assaisonnement ; Non-goûts / refus ; Sources de protéines végétales ; Contexte restauration collective. La réponse doit rester concrète, reliée à la restauration collective et justifiée par au moins un exemple.</t>
  </si>
  <si>
    <t>Il faut distinguer les vrais non-goûts, les habitudes, les préférences et les refus liés à la présentation. Un plat végétal peut être amélioré par le goût, la sauce, le nom du plat, la communication et un test auprès des convives.</t>
  </si>
  <si>
    <t>SATISFACTION_ACCEPTABILITE ; GOUT_ASSAISONNEMENT ; NON_GOUTS ; SOURCE_PROTEINES ; COLLECTIF</t>
  </si>
  <si>
    <t>Il faut tenir compte des goûts et des non-goûts des convives. Certains refusent par habitude, préférence ou manque d’envie. Pour améliorer l’acceptabilité, je travaille le goût, l’assaisonnement, la sauce, la présentation et je demande les avis.</t>
  </si>
  <si>
    <t>Haricots</t>
  </si>
  <si>
    <t>Expliquez comment utiliser des haricots rouges dans un plat complet végétal.</t>
  </si>
  <si>
    <t>Réponse solide attendue : Plat complet / composition ; Sources de protéines végétales ; Argumentation / justification ; Contexte restauration collective ; Lecture nutritionnelle. La réponse doit rester concrète, reliée à la restauration collective et justifiée par au moins un exemple.</t>
  </si>
  <si>
    <t>Les haricots peuvent servir de base à un plat végétal complet. Ils apportent protéines végétales, fibres et satiété. En collectivité, il faut les cuisiner avec une céréale, un légume, une sauce et un assaisonnement suffisant pour éviter un plat sec ou monotone.</t>
  </si>
  <si>
    <t>PLAT_COMPLET ; SOURCE_PROTEINES ; ARGUMENTATION ; COLLECTIF ; NUTRITION</t>
  </si>
  <si>
    <t>Les haricots peuvent servir de base à un plat végétal complet. Ils apportent des protéines végétales, des fibres et de la satiété. Pour que le plat fonctionne au self, je les associe avec une céréale, un légume, une sauce et un bon assaisonnement.</t>
  </si>
  <si>
    <t>Hygiène</t>
  </si>
  <si>
    <t>Quelles règles d’hygiène doevez-vous garder en tête lors de la préparation d’un plat végétal ?</t>
  </si>
  <si>
    <t>Réponse solide attendue : Hygiène / HACCP / sécurité sanitaire ; Sources de protéines végétales ; Argumentation / justification ; Plat complet / composition ; Contexte restauration collective. La réponse doit rester concrète, reliée à la restauration collective et justifiée par au moins un exemple.</t>
  </si>
  <si>
    <t>La partie hygiène HACCP reste obligatoire pour un plat végétal. Il faut contrôler les températures, la traçabilité, le refroidissement, le maintien au chaud et le réchauffage. La sécurité sanitaire ne doit jamais être négligée, même sur une recette sans viande.</t>
  </si>
  <si>
    <t>HYGIENE_HACCP ; SOURCE_PROTEINES ; ARGUMENTATION ; PLAT_COMPLET ; COLLECTIF</t>
  </si>
  <si>
    <t>Même pour un plat végétal, je respecte l’hygiène, l’HACCP, la température, le refroidissement et la traçabilité. Il faut sécuriser la production, le maintien au chaud, le réchauffage et le service pour protéger les convives.</t>
  </si>
  <si>
    <t>Langage très simple</t>
  </si>
  <si>
    <t>Expliquez ce que vous pouvez proposer si un élève écrit : "le plat était sec et pas bon".</t>
  </si>
  <si>
    <t>Réponse solide attendue : Texture / mâche ; Goût / assaisonnement ; Sauce / moelleux ; Argumentation / justification ; Contexte restauration collective. La réponse doit rester concrète, compréhensible terrain et contenir assez de déclencheurs pour que le moteur valide les critères.</t>
  </si>
  <si>
    <t>Pour qu’un plat végétal marche, il doit être bon, pas sec et bien présenté. Il faut des lentilles, pois chiches ou haricots, mais aussi une sauce, du goût et une bonne texture. Si les convives n’aiment pas, il faut corriger la recette.</t>
  </si>
  <si>
    <t>TEXTURE_MACHE ; GOUT_ASSAISONNEMENT ; SAUCE_MOELLEUX ; ARGUMENTATION ; COLLECTIF</t>
  </si>
  <si>
    <t>Pour qu’un plat végétal marche, il doit être bon, pas sec, pas farineux et bien présenté. Il faut du goût, une sauce, une bonne texture et penser aux convives. Si le plat revient en retour assiette, il faut le corriger.</t>
  </si>
  <si>
    <t>Légumineuses</t>
  </si>
  <si>
    <t>Comparez lentilles et pois chiches pour une utilisation en restauration collective.</t>
  </si>
  <si>
    <t>Réponse solide attendue : Plat complet / composition ; Sources de protéines végétales ; Contexte restauration collective ; Argumentation / justification ; Lecture nutritionnelle. La réponse doit rester concrète, reliée à la restauration collective et justifiée par au moins un exemple.</t>
  </si>
  <si>
    <t>Les légumineuses comme les lentilles, pois chiches, haricots, pois cassés ou fèves sont de bonnes sources de protéines végétales, de fibres, de fer et de satiété. Pour obtenir un plat complet, il faut les associer à une céréale, un légume et une sauce.</t>
  </si>
  <si>
    <t>PLAT_COMPLET ; SOURCE_PROTEINES ; COLLECTIF ; ARGUMENTATION ; NUTRITION</t>
  </si>
  <si>
    <t>Les légumineuses comme les lentilles, pois chiches, haricots, pois cassés ou fèves sont de bonnes sources de protéines végétales. Pour faire un plat complet, je les associe avec une céréale, un légume et une sauce. Cela apporte protéines, fibres, fer, équilibre et satiété.</t>
  </si>
  <si>
    <t>Mâche</t>
  </si>
  <si>
    <t>Expliquez pourquoi la mâche doit être maîtrisée pour certains publics fragiles.</t>
  </si>
  <si>
    <t>Réponse solide attendue : Texture / mâche ; Argumentation / justification ; Sources de protéines végétales ; Plat complet / composition ; Contexte restauration collective. La réponse doit rester concrète, reliée à la restauration collective et justifiée par au moins un exemple.</t>
  </si>
  <si>
    <t>La mâche doit rester agréable. Un plat végétal ne doit pas être sec, pâteux ou farineux. La cuisson, la sauce, le maintien au chaud et le choix des légumineuses permettent de conserver une texture moelleuse et plus facile à accepter.</t>
  </si>
  <si>
    <t>TEXTURE_MACHE ; ARGUMENTATION ; SOURCE_PROTEINES ; PLAT_COMPLET ; COLLECTIF</t>
  </si>
  <si>
    <t>La mâche doit être agréable. Un plat végétal ne doit pas être trop sec, trop dur, pâteux ou farineux. Avec des lentilles, pois chiches, haricots ou pois cassés, il faut gérer la cuisson, la sauce et le moelleux pour que les convives le mangent.</t>
  </si>
  <si>
    <t>Matériel</t>
  </si>
  <si>
    <t>Quel matériel peut aider à produire une sauce ou une texture plus régulière pour un plat végétal ?</t>
  </si>
  <si>
    <t>Réponse solide attendue : Texture / mâche ; Sauce / moelleux ; Organisation / production ; Sources de protéines végétales ; Argumentation / justification. La réponse doit rester concrète, reliée à la restauration collective et justifiée par au moins un exemple.</t>
  </si>
  <si>
    <t>Le matériel doit être adapté à la recette et à la quantité produite. Une mauvaise organisation du poste ou du matériel peut dégrader la texture, la cuisson ou la sauce. La fiche technique doit préciser les besoins pour sécuriser la production.</t>
  </si>
  <si>
    <t>TEXTURE_MACHE ; SAUCE_MOELLEUX ; ORGANISATION_PROD ; SOURCE_PROTEINES ; ARGUMENTATION</t>
  </si>
  <si>
    <t>Le matériel doit être adapté à la quantité et à la recette. Il aide à réussir la cuisson, la texture, la sauce et le maintien au chaud. Avec des protéines végétales, une mauvaise organisation peut donner un plat sec, farineux ou mal présenté.</t>
  </si>
  <si>
    <t>Menu</t>
  </si>
  <si>
    <t>Imaginez un menu du midi avec une protéine végétale, un féculent, des légumes et une sauce.</t>
  </si>
  <si>
    <t>Réponse solide attendue : Sauce / moelleux ; Cycle de menus / diversification ; Plat complet / composition ; Sources de protéines végétales ; Argumentation / justification. La réponse doit rester concrète, reliée à la restauration collective et justifiée par au moins un exemple.</t>
  </si>
  <si>
    <t>Un menu végétal doit être varié sur la semaine pour éviter la répétition. Il faut alterner lentilles, pois chiches, haricots, pois cassés, tofu ou autres sources végétales. Le menu doit rester équilibré, diversifié, acceptable et adapté aux contraintes de production.</t>
  </si>
  <si>
    <t>SAUCE_MOELLEUX ; MENU_CYCLE ; PLAT_COMPLET ; SOURCE_PROTEINES ; ARGUMENTATION</t>
  </si>
  <si>
    <t>Dans un menu, il faut varier les plats végétaux pour éviter la répétition. On peut alterner lentilles, pois chiches, haricots, pois cassés, tofu ou soja. Chaque plat doit rester complet avec légumineuse, céréale, légume et sauce, tout en gardant du goût et du moelleux.</t>
  </si>
  <si>
    <t>Nom du plat</t>
  </si>
  <si>
    <t>Pourquoi le nom donné au plat peut influencer l’envie de goûter ?</t>
  </si>
  <si>
    <t>Réponse solide attendue : Communication positive ; Goût / assaisonnement ; Service / présentation / nom du plat ; Argumentation / justification ; Sources de protéines végétales. La réponse doit rester concrète, reliée à la restauration collective et justifiée par au moins un exemple.</t>
  </si>
  <si>
    <t>Le nom du plat influence l’envie de goûter. Il vaut mieux présenter une recette positive et appétissante, comme chili végétal ou curry de pois chiches, plutôt qu’un intitulé qui donne l’impression d’une restriction. La communication doit valoriser le plat.</t>
  </si>
  <si>
    <t>COMMUNICATION_POSITIVE ; GOUT_ASSAISONNEMENT ; SERVICE_PRESENTATION ; ARGUMENTATION ; SOURCE_PROTEINES</t>
  </si>
  <si>
    <t>Le nom du plat peut donner envie ou au contraire bloquer les convives. Il vaut mieux présenter une recette positive comme chili végétal, curry de pois chiches ou bolognaise de lentilles. Le nom, le goût et le dressage comptent beaucoup.</t>
  </si>
  <si>
    <t>Organisation</t>
  </si>
  <si>
    <t>Comment organiser le travail si un plat végétal demande beaucoup d’épluchage ou de préparation ?</t>
  </si>
  <si>
    <t>Réponse solide attendue : Organisation / production ; Sources de protéines végétales ; Argumentation / justification ; Plat complet / composition ; Contexte restauration collective. La réponse doit rester concrète, reliée à la restauration collective et justifiée par au moins un exemple.</t>
  </si>
  <si>
    <t>L’organisation est indispensable pour réussir un plat végétal en collectivité. Il faut prévoir les achats, le stockage, le matériel, la fiche technique, les temps de cuisson, la sauce et le contrôle avant service. Sans organisation, la qualité devient irrégulière.</t>
  </si>
  <si>
    <t>ORGANISATION_PROD ; SOURCE_PROTEINES ; ARGUMENTATION ; PLAT_COMPLET ; COLLECTIF</t>
  </si>
  <si>
    <t>L’organisation est importante pour réussir un plat végétal. Il faut prévoir les achats, le matériel, la fiche technique, les temps de cuisson, la sauce et le contrôle qualité. Sinon, le plat peut être sec, mal servi ou irrégulier.</t>
  </si>
  <si>
    <t>Plat complet</t>
  </si>
  <si>
    <t>Expliquez ce qu’il faut ajouter à des légumineuses pour obtenir un repas végétal complet et équilibré.</t>
  </si>
  <si>
    <t>Réponse solide attendue : Lecture nutritionnelle ; Plat complet / composition ; Sources de protéines végétales ; Argumentation / justification ; Contexte restauration collective. La réponse doit rester concrète, reliée à la restauration collective et justifiée par au moins un exemple.</t>
  </si>
  <si>
    <t>Un plat végétal complet doit associer une légumineuse, une céréale, un légume et une sauce. Les lentilles, pois chiches, haricots ou pois cassés apportent des protéines végétales, des fibres, du fer et de la satiété. La sauce améliore le moelleux, le goût et l’acceptabilité au self ou au service.</t>
  </si>
  <si>
    <t>NUTRITION ; PLAT_COMPLET ; SOURCE_PROTEINES ; ARGUMENTATION ; COLLECTIF</t>
  </si>
  <si>
    <t>Pour faire un plat végétal complet, je ne mets pas seulement une légumineuse. J’associe par exemple lentilles, pois chiches, haricots ou pois cassés avec une céréale, un légume et une sauce. Comme ça, le plat apporte des protéines, des fibres, du fer, de l’équilibre et de la satiété, tout en restant plus agréable au self ou au service.</t>
  </si>
  <si>
    <t>Plat familier</t>
  </si>
  <si>
    <t>Pourquoi transformer une recette connue en version végétale peut aider les convives à l’accepter ?</t>
  </si>
  <si>
    <t>Réponse solide attendue : Satisfaction / acceptabilité ; Sources de protéines végétales ; Contexte restauration collective ; Recette connue / adaptation ; Argumentation / justification. La réponse doit rester concrète, reliée à la restauration collective et justifiée par au moins un exemple.</t>
  </si>
  <si>
    <t>Un plat végétal est plus facilement accepté lorsqu’il reprend une recette connue. Chili, dhal, bolognaise végétale, curry ou sauce tomate rassurent les convives. On garde une base familière tout en intégrant des légumineuses ou des protéines végétales.</t>
  </si>
  <si>
    <t>SATISFACTION_ACCEPTABILITE ; SOURCE_PROTEINES ; COLLECTIF ; RECETTE_FAMILIERE ; ARGUMENTATION</t>
  </si>
  <si>
    <t>Un plat végétal passe mieux quand il ressemble à une recette connue. Un chili, un dhal, une bolognaise végétale ou un curry rassure les convives. On peut y intégrer lentilles, pois chiches ou haricots avec une sauce et un bon assaisonnement.</t>
  </si>
  <si>
    <t>Pois cassés</t>
  </si>
  <si>
    <t>Proposez une amélioration pour une purée de pois cassés trop sèche.</t>
  </si>
  <si>
    <t>Réponse solide attendue : Texture / mâche ; Sources de protéines végétales ; Argumentation / justification ; Plat complet / composition ; Contexte restauration collective. La réponse doit rester concrète, reliée à la restauration collective et justifiée par au moins un exemple.</t>
  </si>
  <si>
    <t>Les pois cassés sont intéressants pour leur apport en protéines végétales, fibres et satiété. Ils demandent une cuisson maîtrisée, car ils peuvent vite devenir farineux. Une sauce, des aromates et une association avec céréale et légume rendent le plat plus complet et plus agréable.</t>
  </si>
  <si>
    <t>TEXTURE_MACHE ; SOURCE_PROTEINES ; ARGUMENTATION ; PLAT_COMPLET ; COLLECTIF</t>
  </si>
  <si>
    <t>Les pois cassés sont intéressants pour les protéines végétales, les fibres et la satiété. Il faut bien gérer la cuisson, car ils peuvent devenir farineux. Avec une sauce, une céréale et un légume, on peut obtenir un plat plus complet et plus agréable.</t>
  </si>
  <si>
    <t>Portion</t>
  </si>
  <si>
    <t>Pourquoi la quantité servie doit-elle être adaptée pour limiter le gaspillage ?</t>
  </si>
  <si>
    <t>Réponse solide attendue : Coût / prix / budget ; Gaspillage / retours assiette ; Argumentation / justification ; Sources de protéines végétales ; Plat complet / composition. La réponse doit rester concrète, reliée à la restauration collective et justifiée par au moins un exemple.</t>
  </si>
  <si>
    <t>La portion doit être adaptée au public, au coût, à la satiété et au retour assiette. Une portion trop importante augmente les restes, tandis qu’une portion trop faible peut nuire à l’équilibre du repas. Il faut ajuster avec les observations terrain.</t>
  </si>
  <si>
    <t>COUT ; GASPILLAGE_RESTES ; ARGUMENTATION ; SOURCE_PROTEINES ; PLAT_COMPLET</t>
  </si>
  <si>
    <t>La portion doit être adaptée au public, au coût et à la satiété. Une portion trop grosse augmente le gaspillage et le retour assiette. Une portion trop petite peut déséquilibrer le repas. Il faut donc observer les convives et les restes.</t>
  </si>
  <si>
    <t>Prix</t>
  </si>
  <si>
    <t>Pourquoi le plat le moins cher à l’achat n’est pas toujours le plus intéressant ?</t>
  </si>
  <si>
    <t>Le prix d’un plat végétal ne se limite pas au coût matière. Il faut comparer le prix des portions, les achats, le temps de préparation, le rendement, les pertes, la main-d’œuvre et le retour assiette. Un plat économique doit aussi être réellement consommé.</t>
  </si>
  <si>
    <t>Pour parler du prix, je ne regarde pas seulement la matière première. Je prends aussi en compte le coût, le prix de la portion, les achats, le budget, le temps de production, les pertes et le gaspillage. Un plat végétal doit être économique, mais aussi consommé par les convives.</t>
  </si>
  <si>
    <t>Production</t>
  </si>
  <si>
    <t>Pourquoi le temps de préparation peut poser problème en cuisine collective ?</t>
  </si>
  <si>
    <t>Réponse solide attendue : Organisation / production ; Contexte restauration collective ; Argumentation / justification ; Sources de protéines végétales ; Plat complet / composition. La réponse doit rester concrète, reliée à la restauration collective et justifiée par au moins un exemple.</t>
  </si>
  <si>
    <t>La production demande une organisation claire : fiche technique, matériel, poste, temps, cuisson, refroidissement, maintien au chaud et contrôle qualité. Un plat végétal en grande quantité doit être anticipé pour garder goût, texture, sécurité sanitaire et régularité au service.</t>
  </si>
  <si>
    <t>ORGANISATION_PROD ; COLLECTIF ; ARGUMENTATION ; SOURCE_PROTEINES ; PLAT_COMPLET</t>
  </si>
  <si>
    <t>En production, il faut de l’organisation, du matériel adapté, une fiche technique claire et du temps. Pour un plat végétal en grande quantité, je dois prévoir la cuisson, la sauce, la texture, le service et les attentes des convives.</t>
  </si>
  <si>
    <t>Protéines</t>
  </si>
  <si>
    <t>Expliquez pourquoi un plat végétal doit contenir une vraie source de protéines.</t>
  </si>
  <si>
    <t>Les protéines végétales peuvent venir des lentilles, pois chiches, haricots, pois cassés, fèves, soja, tofu ou tempeh. Pour remplacer une partie de la viande, il faut raisonner en plat complet, avec céréale, légume, sauce, assaisonnement et bonne acceptabilité au service.</t>
  </si>
  <si>
    <t>Les protéines végétales peuvent venir des lentilles, pois chiches, haricots, pois cassés, tofu ou soja. Pour remplacer une partie de la viande, je ne cite pas seulement des aliments : j’explique comment faire un plat complet, équilibré et accepté au self.</t>
  </si>
  <si>
    <t>Protéines texturées</t>
  </si>
  <si>
    <t>Comment utiliser des protéines de soja texturées dans une sauce bolognaise végétale ?</t>
  </si>
  <si>
    <t>Réponse solide attendue : Allergène soja ; Texture / mâche ; Sauce / moelleux ; Sources de protéines végétales ; Recette connue / adaptation. La réponse doit rester concrète, reliée à la restauration collective et justifiée par au moins un exemple.</t>
  </si>
  <si>
    <t>Les protéines de soja texturées doivent être réhydratées, assaisonnées et servies avec une sauce pour éviter une texture sèche. Elles déclenchent l’allergène soja et doivent être clairement signalées. Elles fonctionnent bien dans des recettes connues comme chili, bolognaise, curry ou sauce tomate.</t>
  </si>
  <si>
    <t>ALLERGENE_SOJA ; TEXTURE_MACHE ; SAUCE_MOELLEUX ; SOURCE_PROTEINES ; RECETTE_FAMILIERE</t>
  </si>
  <si>
    <t>Les protéines de soja texturées doivent être bien réhydratées, assaisonnées et servies avec une sauce. Sinon, la texture peut être sèche ou farineuse. Il faut aussi afficher l’allergène soja et partir d’une recette connue comme chili, dhal, bolognaise ou curry.</t>
  </si>
  <si>
    <t>Question courte</t>
  </si>
  <si>
    <t>Pourquoi une sauce aide un plat de lentilles au self ?</t>
  </si>
  <si>
    <t>Réponse solide attendue : Sauce / moelleux ; Texture / mâche ; Goût / assaisonnement ; Contexte restauration collective ; Argumentation / justification. La réponse doit rester concrète, compréhensible terrain et contenir assez de déclencheurs pour que le moteur valide les critères.</t>
  </si>
  <si>
    <t>Une sauce nappante apporte humidite, liaison et moelleux pendant le service. La texture et la mache doivent rester moelleuses, pas farineuses ni seches. Le gout doit être travaillé avec assaisonnement, epice, aromate ou marinade. En collectivite, il faut penser au self, au service, aux convives et à la grande quantite. parce que la réponse doit expliquer la cause, la conséquence et l'amélioration possible.</t>
  </si>
  <si>
    <t>SAUCE_MOELLEUX ; TEXTURE_MACHE ; GOUT_ASSAISONNEMENT ; COLLECTIF ; ARGUMENTATION</t>
  </si>
  <si>
    <t>Pour réussir un plat végétal, je pense au goût, à la sauce, à la texture et aux convives. Il faut éviter un plat sec, farineux ou fade, surtout au self ou en grande quantité.</t>
  </si>
  <si>
    <t>Pourquoi le nom du plat compte quand on sert un plat végétal ?</t>
  </si>
  <si>
    <t>Réponse solide attendue : Service / présentation / nom du plat ; Communication positive ; Satisfaction / acceptabilité ; Non-goûts / refus ; Argumentation / justification. La réponse doit rester concrète, compréhensible terrain et contenir assez de déclencheurs pour que le moteur valide les critères.</t>
  </si>
  <si>
    <t>Le service, le self, le dressage, la presentation et le nom du plat doivent donner envie. La communication doit presenter le plat de façon positive, donner envie et éviter de culpabiliser. Il faut mesurer la satisfaction, l'acceptabilite, les avis et le retour des convives. Il faut distinguer refus, non gout, habitude, preference et public concerné. parce que la réponse doit expliquer la cause, la conséquence et l'amélioration possible.</t>
  </si>
  <si>
    <t>SERVICE_PRESENTATION ; COMMUNICATION_POSITIVE ; SATISFACTION_ACCEPTABILITE ; NON_GOUTS ; ARGUMENTATION</t>
  </si>
  <si>
    <t>Au self, le plat doit donner envie grâce à son nom, sa présentation et son dressage. Je prends aussi en compte les avis, la satisfaction, les refus, les non-goûts et les habitudes des convives.</t>
  </si>
  <si>
    <t>Pourquoi un plat aux haricots rouges doit aussi avoir légumes, céréales et sauce ?</t>
  </si>
  <si>
    <t>Réponse solide attendue : Plat complet / composition ; Sources de protéines végétales ; Lecture nutritionnelle ; Sauce / moelleux ; Argumentation / justification. La réponse doit rester concrète, compréhensible terrain et contenir assez de déclencheurs pour que le moteur valide les critères.</t>
  </si>
  <si>
    <t>Je construirais un plat complet avec legumineuse, cereale, legume et sauce. La source de proteine vegetale peut être lentille, pois chiche, haricot ou pois casse. La lecture nutrition porte sur proteine, fibres, fer, equilibre et satiete. Une sauce nappante apporte humidite, liaison et moelleux pendant le service. parce que la réponse doit expliquer la cause, la conséquence et l'amélioration possible.</t>
  </si>
  <si>
    <t>PLAT_COMPLET ; SOURCE_PROTEINES ; NUTRITION ; SAUCE_MOELLEUX ; ARGUMENTATION</t>
  </si>
  <si>
    <t>Un plat végétal complet doit associer légumineuse, céréale, légume et sauce. Je cite des protéines végétales comme lentilles, pois chiches, haricots ou pois cassés, et je parle aussi de fibres, fer, équilibre et satiété.</t>
  </si>
  <si>
    <t>Que faut-il faire si les élèves ne veulent pas goûter un plat au tofu ?</t>
  </si>
  <si>
    <t>Réponse solide attendue : Allergène soja ; Non-goûts / refus ; Goût / assaisonnement ; Communication positive ; Test / mesure / indicateurs. La réponse doit rester concrète, compréhensible terrain et contenir assez de déclencheurs pour que le moteur valide les critères.</t>
  </si>
  <si>
    <t>Si la recette contient soja, tofu, proteines de soja ou PST, l'allergene soja doit être affiché. Il faut distinguer refus, non gout, habitude, preference et public concerné. Le gout doit être travaillé avec assaisonnement, epice, aromate ou marinade. La communication doit presenter le plat de façon positive, donner envie et éviter de culpabiliser. Je proposerais un test avec indicateur, protocole, suivi, peser les restes et mesurer les avis.</t>
  </si>
  <si>
    <t>ALLERGENE_SOJA ; NON_GOUTS ; GOUT_ASSAISONNEMENT ; COMMUNICATION_POSITIVE ; TEST_MESURE</t>
  </si>
  <si>
    <t>Si la recette contient du soja, du tofu ou des protéines de soja, il faut afficher l’allergène soja. Il faut aussi tenir compte des goûts, des refus, de l’assaisonnement, de la communication et des retours des convives.</t>
  </si>
  <si>
    <t>Comment éviter de refaire toujours les mêmes recettes avec lentilles ?</t>
  </si>
  <si>
    <t>Réponse solide attendue : Cycle de menus / diversification ; Sources de protéines végétales ; Exemples cités ; Recette connue / adaptation ; Argumentation / justification. La réponse doit rester concrète, compréhensible terrain et contenir assez de déclencheurs pour que le moteur valide les critères.</t>
  </si>
  <si>
    <t xml:space="preserve"> Le cycle de menu doit varier sur la semaine, avec diversification et sans repetition. La source de proteine vegetale peut être lentille, pois chiche, haricot ou pois casse. Exemple : lentilles, pois chiche, haricot, tofu ou soja selon la recette. On sécurise avec une recette connue : chili, dhal, bolognaise, curry ou sauce tomate. parce que la réponse doit expliquer la cause, la conséquence et l'amélioration possible.</t>
  </si>
  <si>
    <t>MENU_CYCLE ; SOURCE_PROTEINES ; EXEMPLES ; RECETTE_FAMILIERE ; ARGUMENTATION</t>
  </si>
  <si>
    <t>Sur un cycle de menu, il faut varier les recettes et éviter la répétition. On peut utiliser lentilles, pois chiches, haricots, tofu ou soja dans des recettes connues comme chili, dhal, bolognaise ou curry.</t>
  </si>
  <si>
    <t>Recette connue</t>
  </si>
  <si>
    <t>Proposez une version végétale d’un plat connu pour améliorer l’acceptation.</t>
  </si>
  <si>
    <t>Réponse solide attendue : Recette connue / adaptation ; Sources de protéines végétales ; Plat complet / composition ; Goût / assaisonnement ; Service / présentation / nom du plat. La réponse doit rester concrète, compréhensible terrain et contenir assez de déclencheurs pour que le moteur valide les critères.</t>
  </si>
  <si>
    <t>Une recette connue rassure les convives et facilite l’acceptation. Chili, dhal, bolognaise végétale, curry ou sauce tomate permettent d’intégrer des lentilles, pois chiches, haricots ou protéines végétales sans rupture trop brutale avec les habitudes alimentaires.</t>
  </si>
  <si>
    <t>RECETTE_FAMILIERE ; SOURCE_PROTEINES ; PLAT_COMPLET ; GOUT_ASSAISONNEMENT ; SERVICE_PRESENTATION</t>
  </si>
  <si>
    <t>Une recette connue aide les convives à accepter un plat végétal. Un chili, un dhal, une bolognaise végétale ou un curry permet d’utiliser lentilles, pois chiches ou haricots avec une sauce, du goût et une présentation rassurante.</t>
  </si>
  <si>
    <t>Recette fade</t>
  </si>
  <si>
    <t>Un dhal manque de goût : que pouvez-vous modifier dans la recette ?</t>
  </si>
  <si>
    <t>Réponse solide attendue : Goût / assaisonnement ; Recette connue / adaptation ; Argumentation / justification ; Sources de protéines végétales ; Plat complet / composition. La réponse doit rester concrète, reliée à la restauration collective et justifiée par au moins un exemple.</t>
  </si>
  <si>
    <t>Un plat végétal fade risque d’être refusé, même s’il est équilibré. Il faut renforcer l’assaisonnement avec épices, aromates, marinade ou sauce. Le nom du plat, la présentation et une recette connue peuvent aussi améliorer l’envie de goûter.</t>
  </si>
  <si>
    <t>GOUT_ASSAISONNEMENT ; RECETTE_FAMILIERE ; ARGUMENTATION ; SOURCE_PROTEINES ; PLAT_COMPLET</t>
  </si>
  <si>
    <t>Une recette végétale fade risque de revenir en retour assiette. Il faut travailler le goût avec assaisonnement, épices, herbes, aromates ou marinade. Une recette connue comme chili, dhal, bolognaise ou curry aide aussi les convives à accepter le plat.</t>
  </si>
  <si>
    <t>Recette farineuse</t>
  </si>
  <si>
    <t>Une préparation aux légumineuses a une texture farineuse : que pouvez-vous contrôler ?</t>
  </si>
  <si>
    <t>Réponse solide attendue : Texture / mâche ; Plat complet / composition ; Contrôle qualité avant service ; Argumentation / justification ; Sources de protéines végétales. La réponse doit rester concrète, reliée à la restauration collective et justifiée par au moins un exemple.</t>
  </si>
  <si>
    <t>Une texture farineuse vient souvent d’une cuisson trop poussée, d’un manque de sauce ou d’un mauvais maintien au chaud. Il faut contrôler la mâche, le moelleux, la température et la sauce avant service pour obtenir un plat plus agréable.</t>
  </si>
  <si>
    <t>TEXTURE_MACHE ; PLAT_COMPLET ; QUALITE ; ARGUMENTATION ; SOURCE_PROTEINES</t>
  </si>
  <si>
    <t>Une texture farineuse peut venir d’une mauvaise cuisson, d’un manque de sauce ou d’un maintien au chaud trop long. Avant service, je contrôle la texture, la sauce, la température et la qualité du plat pour éviter un résultat sec ou désagréable.</t>
  </si>
  <si>
    <t>Recette sèche</t>
  </si>
  <si>
    <t>Un chili végétal est jugé sec : quelles corrections proposez-vous ?</t>
  </si>
  <si>
    <t>Réponse solide attendue : Texture / mâche ; Sources de protéines végétales ; Recette connue / adaptation ; Argumentation / justification ; Plat complet / composition. La réponse doit rester concrète, reliée à la restauration collective et justifiée par au moins un exemple.</t>
  </si>
  <si>
    <t>Une recette végétale sèche sera mal acceptée. Pour corriger cela, il faut travailler la sauce, le moelleux, la cuisson et la tenue au chaud. Des recettes connues comme chili, dhal, curry, bolognaise végétale ou sauce tomate sécurisent mieux l’acceptation.</t>
  </si>
  <si>
    <t>TEXTURE_MACHE ; SOURCE_PROTEINES ; RECETTE_FAMILIERE ; ARGUMENTATION ; PLAT_COMPLET</t>
  </si>
  <si>
    <t>Si une recette végétale est sèche, elle sera moins appréciée. Il faut ajouter une sauce, garder du moelleux et choisir une recette connue comme chili, dhal, bolognaise végétale ou curry. Les légumineuses doivent rester agréables à manger.</t>
  </si>
  <si>
    <t>Réchauffage</t>
  </si>
  <si>
    <t>Expliquez ce qui peut changer dans un plat végétal après réchauffage.</t>
  </si>
  <si>
    <t>Réponse solide attendue : Cuisson / tenue au chaud ; Sources de protéines végétales ; Argumentation / justification ; Plat complet / composition ; Contexte restauration collective. La réponse doit rester concrète, reliée à la restauration collective et justifiée par au moins un exemple.</t>
  </si>
  <si>
    <t>Le réchauffage doit remettre le plat à bonne température sans le dessécher. Les légumineuses et les sauces peuvent épaissir ou coller si le réchauffage est mal maîtrisé. Il faut contrôler température, texture, sauce et qualité avant service.</t>
  </si>
  <si>
    <t>CUISSON_TENUE ; SOURCE_PROTEINES ; ARGUMENTATION ; PLAT_COMPLET ; COLLECTIF</t>
  </si>
  <si>
    <t>Le réchauffage doit remettre le plat à bonne température sans le dessécher. Les lentilles, pois chiches, haricots ou pois cassés peuvent épaissir ou devenir pâteux. Je vérifie la cuisson, la sauce, la texture et la qualité avant service.</t>
  </si>
  <si>
    <t>Refroidissement</t>
  </si>
  <si>
    <t>Pourquoi faut-il respecter les températures même pour un plat sans viande ?</t>
  </si>
  <si>
    <t>Réponse solide attendue : Cuisson / tenue au chaud ; Hygiène / HACCP / sécurité sanitaire ; Argumentation / justification ; Sources de protéines végétales ; Plat complet / composition. La réponse doit rester concrète, reliée à la restauration collective et justifiée par au moins un exemple.</t>
  </si>
  <si>
    <t>Le refroidissement doit respecter les règles HACCP. Il faut maîtriser la température, la durée, la traçabilité et les conditions de stockage. Pour un plat végétal en liaison froide, le réchauffage doit ensuite préserver la texture, la sauce et la sécurité sanitaire.</t>
  </si>
  <si>
    <t>CUISSON_TENUE ; HYGIENE_HACCP ; ARGUMENTATION ; SOURCE_PROTEINES ; PLAT_COMPLET</t>
  </si>
  <si>
    <t>En refroidissement, il faut respecter l’HACCP, les températures, la traçabilité et les délais. Si le plat est réchauffé plus tard, je vérifie aussi qu’il garde sa sauce, sa texture et son moelleux après remise en température.</t>
  </si>
  <si>
    <t>Restes</t>
  </si>
  <si>
    <t>Expliquez ce que les restes dans les assiettes peuvent apprendre au cuisinier.</t>
  </si>
  <si>
    <t>Réponse solide attendue : Gaspillage / retours assiette ; Plat complet / composition ; Argumentation / justification ; Sources de protéines végétales ; Contexte restauration collective. La réponse doit rester concrète, reliée à la restauration collective et justifiée par au moins un exemple.</t>
  </si>
  <si>
    <t>Les restes donnent une information concrète sur l’acceptabilité du plat. Si les lentilles, pois chiches ou haricots reviennent souvent en retour assiette, il faut vérifier le goût, la sauce, la texture, la portion et la présentation. Le suivi des pertes aide à améliorer la recette.</t>
  </si>
  <si>
    <t>GASPILLAGE_RESTES ; PLAT_COMPLET ; ARGUMENTATION ; SOURCE_PROTEINES ; COLLECTIF</t>
  </si>
  <si>
    <t>Les restes montrent si le plat a été accepté ou non. Si beaucoup de lentilles, pois chiches, haricots ou pois cassés reviennent en retour assiette, il faut revoir la sauce, le goût, la texture, la portion ou la présentation au self.</t>
  </si>
  <si>
    <t>Satisfaction</t>
  </si>
  <si>
    <t>Comment pouvez-vous savoir si les convives ont apprécié un plat végétal ?</t>
  </si>
  <si>
    <t>Réponse solide attendue : Satisfaction / acceptabilité ; Sources de protéines végétales ; Contexte restauration collective ; Argumentation / justification ; Plat complet / composition. La réponse doit rester concrète, reliée à la restauration collective et justifiée par au moins un exemple.</t>
  </si>
  <si>
    <t>La satisfaction des convives se mesure avec les avis, les retours terrain, les restes et l’acceptabilité du plat. Un plat végétal peut être équilibré sur le plan nutritionnel, mais s’il est sec, fade ou mal présenté, il sera moins consommé. Il faut donc croiser nutrition, goût, texture et retour assiette.</t>
  </si>
  <si>
    <t>SATISFACTION_ACCEPTABILITE ; SOURCE_PROTEINES ; COLLECTIF ; ARGUMENTATION ; PLAT_COMPLET</t>
  </si>
  <si>
    <t>Pour savoir si un plat végétal fonctionne, il faut demander l’avis des convives et regarder la satisfaction, l’acceptabilité et les retours assiette. Même si le plat est équilibré avec protéine végétale, fibres, fer et satiété, il doit aussi être bon, bien présenté et adapté au self ou au service.</t>
  </si>
  <si>
    <t>Sauce</t>
  </si>
  <si>
    <t>Donnez un exemple de plat végétal qui serait meilleur avec une sauce et expliquez pourquoi.</t>
  </si>
  <si>
    <t>Réponse solide attendue : Sauce / moelleux ; Sources de protéines végétales ; Argumentation / justification ; Plat complet / composition ; Contexte restauration collective. La réponse doit rester concrète, reliée à la restauration collective et justifiée par au moins un exemple.</t>
  </si>
  <si>
    <t>La sauce joue un rôle important dans un plat végétal. Elle apporte humidité, liaison, goût et moelleux pendant le service. Avec des lentilles, pois chiches, haricots ou pois cassés, une sauce nappante évite une texture sèche et rend le plat plus agréable pour les convives.</t>
  </si>
  <si>
    <t>SAUCE_MOELLEUX ; SOURCE_PROTEINES ; ARGUMENTATION ; PLAT_COMPLET ; COLLECTIF</t>
  </si>
  <si>
    <t>La sauce aide beaucoup à réussir un plat végétal. Elle apporte de l’humidité, du moelleux et du goût, surtout avec des légumineuses comme les lentilles, les pois chiches, les haricots ou les pois cassés. Pour un plat complet, je pense à associer légumineuse, céréale, légume et sauce, surtout en grande quantité.</t>
  </si>
  <si>
    <t>Sauce et goût</t>
  </si>
  <si>
    <t>Expliquez le rôle d’une sauce dans l’acceptation d’un plat à base de légumineuses.</t>
  </si>
  <si>
    <t>Réponse solide attendue : Sauce / moelleux ; Goût / assaisonnement ; Plat complet / composition ; Argumentation / justification ; Sources de protéines végétales. La réponse doit rester concrète, reliée à la restauration collective et justifiée par au moins un exemple.</t>
  </si>
  <si>
    <t>La sauce et le goût sont deux leviers majeurs pour réussir un plat végétal. Une sauce nappante apporte humidité, liaison et moelleux, tandis que les épices, aromates ou marinades renforcent l’acceptabilité. Sans cela, le plat peut sembler sec ou fade.</t>
  </si>
  <si>
    <t>SAUCE_MOELLEUX ; GOUT_ASSAISONNEMENT ; PLAT_COMPLET ; ARGUMENTATION ; SOURCE_PROTEINES</t>
  </si>
  <si>
    <t>La sauce et le goût sont deux points essentiels. La sauce apporte humidité et moelleux, et l’assaisonnement apporte du goût avec épices, herbes ou marinade. Avec des légumineuses, cela évite un plat sec, fade ou peu accepté.</t>
  </si>
  <si>
    <t>Self</t>
  </si>
  <si>
    <t>Que pouvez-vous observer au self pour savoir si un plat végétal fonctionne ?</t>
  </si>
  <si>
    <t>Réponse solide attendue : Service / présentation / nom du plat ; Sources de protéines végétales ; Contexte restauration collective ; Argumentation / justification ; Plat complet / composition. La réponse doit rester concrète, reliée à la restauration collective et justifiée par au moins un exemple.</t>
  </si>
  <si>
    <t>Au self, le plat végétal doit être lisible, chaud, bien présenté et facile à servir. Le nom du plat, la sauce, le dressage et l’aspect visuel influencent le choix des convives. Il faut penser grande quantité, maintien au chaud et retour assiette.</t>
  </si>
  <si>
    <t>SERVICE_PRESENTATION ; SOURCE_PROTEINES ; COLLECTIF ; ARGUMENTATION ; PLAT_COMPLET</t>
  </si>
  <si>
    <t>Au self, le plat doit être visible, clair et appétissant. La présentation, le nom du plat, le dressage, la sauce et la température donnent envie ou non. Il faut aussi penser aux grandes quantités, aux convives et au retour assiette.</t>
  </si>
  <si>
    <t>Service</t>
  </si>
  <si>
    <t>Pourquoi le dressage et la présentation peuvent influencer l’acceptation d’un plat végétal ?</t>
  </si>
  <si>
    <t>Réponse solide attendue : Service / présentation / nom du plat ; Sources de protéines végétales ; Argumentation / justification ; Plat complet / composition ; Contexte restauration collective. La réponse doit rester concrète, reliée à la restauration collective et justifiée par au moins un exemple.</t>
  </si>
  <si>
    <t>Au service, le plat végétal doit donner envie. Le dressage, le nom du plat, la présentation, la sauce et la température influencent directement l’acceptabilité. En self ou en grande quantité, un plat bien pensé sera plus facilement goûté et consommé.</t>
  </si>
  <si>
    <t>SERVICE_PRESENTATION ; SOURCE_PROTEINES ; ARGUMENTATION ; PLAT_COMPLET ; COLLECTIF</t>
  </si>
  <si>
    <t>Au service ou au self, le plat doit donner envie. La présentation, le dressage, le nom du plat, la sauce et la température comptent beaucoup. Même avec des lentilles, pois chiches ou haricots, le plat doit être clair, complet et agréable pour les convives.</t>
  </si>
  <si>
    <t>Sources végétales</t>
  </si>
  <si>
    <t>Citez quatre aliments végétaux riches en protéines et expliquez comment on pourrait les cuisiner en collectivité.</t>
  </si>
  <si>
    <t>Réponse solide attendue : Sources de protéines végétales ; Contexte restauration collective ; Exemples cités ; Argumentation / justification ; Plat complet / composition. La réponse doit rester concrète, reliée à la restauration collective et justifiée par au moins un exemple.</t>
  </si>
  <si>
    <t>Les principales sources de protéines végétales sont les lentilles, pois chiches, haricots, pois cassés, fèves, soja, tofu, tempeh ou protéines de soja texturées. En cuisine collective, il ne suffit pas de les citer : il faut expliquer comment les cuisiner, les assaisonner, les servir et les rendre acceptables pour les convives.</t>
  </si>
  <si>
    <t>SOURCE_PROTEINES ; COLLECTIF ; EXEMPLES ; ARGUMENTATION ; PLAT_COMPLET</t>
  </si>
  <si>
    <t>Je peux citer plusieurs sources de protéines végétales comme les lentilles, les pois chiches, les haricots, les pois cassés, le tofu ou le soja. Mais je dois aussi expliquer comment les utiliser dans un plat complet avec légumineuse, céréale, légume et sauce, surtout en collectivité où il faut penser au service, au self, aux convives et aux grandes quantités.</t>
  </si>
  <si>
    <t>Tempeh</t>
  </si>
  <si>
    <t>Expliquee ce que vous devez vérifier avant de proposer du tempeh à des convives.</t>
  </si>
  <si>
    <t>Réponse solide attendue : Allergène soja ; Satisfaction / acceptabilité ; Sources de protéines végétales ; Contexte restauration collective ; Contrôle qualité avant service. La réponse doit rester concrète, reliée à la restauration collective et justifiée par au moins un exemple.</t>
  </si>
  <si>
    <t>Le tempeh est une protéine végétale à base de soja fermenté. Il doit être signalé comme allergène soja. En cuisine collective, il faut tester son goût, sa texture, son coût et son acceptabilité avant de l’intégrer largement dans un cycle de menus.</t>
  </si>
  <si>
    <t>ALLERGENE_SOJA ; SATISFACTION_ACCEPTABILITE ; SOURCE_PROTEINES ; COLLECTIF ; QUALITE</t>
  </si>
  <si>
    <t>Le tempeh vient du soja, donc il faut afficher l’allergène soja. Avant de le servir en grande quantité, il faut vérifier le goût, la texture, la satisfaction des convives et l’acceptabilité. Un contrôle qualité avant service permet d’éviter un plat sec ou mal compris.</t>
  </si>
  <si>
    <t>Tenue au chaud</t>
  </si>
  <si>
    <t>Pourquoi faut-il vérifier un plat végétal après maintien au chaud avant le service ?</t>
  </si>
  <si>
    <t>Réponse solide attendue : Texture / mâche ; Cuisson / tenue au chaud ; Service / présentation / nom du plat ; Sources de protéines végétales ; Contrôle qualité avant service. La réponse doit rester concrète, reliée à la restauration collective et justifiée par au moins un exemple.</t>
  </si>
  <si>
    <t>La tenue au chaud doit préserver la texture, la sauce et la température du plat. Après 45 minutes, un plat à base de légumineuses peut sécher ou devenir pâteux. Il faut donc contrôler le maintien au chaud, le moelleux, la température et la présentation avant et pendant le service.</t>
  </si>
  <si>
    <t>TEXTURE_MACHE ; CUISSON_TENUE ; SERVICE_PRESENTATION ; SOURCE_PROTEINES ; QUALITE</t>
  </si>
  <si>
    <t>Pendant la tenue au chaud, il faut vérifier que le plat ne sèche pas et garde une bonne texture. Les légumineuses doivent rester moelleuses, pas farineuses. Avant le service, je contrôle la cuisson, la température, la sauce, la présentation et la qualité du plat.</t>
  </si>
  <si>
    <t>Que faut-il vérifier si un plat aux pois chiches devient sec après 45 minutes au chaud ?</t>
  </si>
  <si>
    <t>Réponse solide attendue : Cuisson / tenue au chaud ; Texture / mâche ; Sauce / moelleux ; Contrôle qualité avant service ; Sources de protéines végétales. La réponse doit rester concrète, compréhensible terrain et contenir assez de déclencheurs pour que le moteur valide les critères.</t>
  </si>
  <si>
    <t>CUISSON_TENUE ; TEXTURE_MACHE ; SAUCE_MOELLEUX ; QUALITE ; SOURCE_PROTEINES</t>
  </si>
  <si>
    <t>Pendant la tenue au chaud, je vérifie que le plat garde sa température, sa sauce, son moelleux et sa texture. Après 45 minutes, un plat végétal peut sécher. Un contrôle qualité avant service permet d’éviter ce problème.</t>
  </si>
  <si>
    <t>Test convives</t>
  </si>
  <si>
    <t>Proposez une méthode simple pour tester un nouveau plat végétal auprès d’un petit groupe.</t>
  </si>
  <si>
    <t>Réponse solide attendue : Satisfaction / acceptabilité ; Test / mesure / indicateurs ; Sources de protéines végétales ; Contexte restauration collective ; Argumentation / justification. La réponse doit rester concrète, reliée à la restauration collective et justifiée par au moins un exemple.</t>
  </si>
  <si>
    <t>Un test convives permet de mesurer l’acceptabilité réelle d’un plat végétal. Il faut prévoir un indicateur, un protocole simple, le suivi des restes, la pesée du retour assiette et la collecte des avis. Ces données servent à améliorer la recette.</t>
  </si>
  <si>
    <t>SATISFACTION_ACCEPTABILITE ; TEST_MESURE ; SOURCE_PROTEINES ; COLLECTIF ; ARGUMENTATION</t>
  </si>
  <si>
    <t>Un test convives permet de voir si le plat fonctionne vraiment. Je peux mesurer la satisfaction, peser les restes, regarder le retour assiette et suivre un indicateur. Cela permet de corriger la recette au lieu de se baser seulement sur une impression.</t>
  </si>
  <si>
    <t>Texture</t>
  </si>
  <si>
    <t>Expliquez pourquoi la texture d’un plat végétal est importante au self ou en restauration collective.</t>
  </si>
  <si>
    <t>Réponse solide attendue : Texture / mâche ; Service / présentation / nom du plat ; Sources de protéines végétales ; Contexte restauration collective ; Argumentation / justification. La réponse doit rester concrète, reliée à la restauration collective et justifiée par au moins un exemple.</t>
  </si>
  <si>
    <t>La texture est essentielle pour qu’un plat végétal soit accepté. Les légumineuses doivent rester moelleuses, ni farineuses ni sèches. Une bonne sauce, une cuisson maîtrisée et un dressage correct améliorent la mâche, la présentation et l’envie de goûter le plat au self ou au service.</t>
  </si>
  <si>
    <t>TEXTURE_MACHE ; SERVICE_PRESENTATION ; SOURCE_PROTEINES ; COLLECTIF ; ARGUMENTATION</t>
  </si>
  <si>
    <t>La texture est très importante dans un plat végétal. Il ne faut pas que ce soit trop sec, trop farineux ou pâteux. Avec des lentilles, pois chiches, haricots ou pois cassés, il faut garder du moelleux, une bonne mâche, une sauce suffisante et une présentation qui donne envie au self ou au service.</t>
  </si>
  <si>
    <t>Tofu</t>
  </si>
  <si>
    <t>Pourquoi le tofu doit-il être mariné, assaisonné ou accompagné pour être mieux accepté ?</t>
  </si>
  <si>
    <t>Réponse solide attendue : Allergène soja ; Goût / assaisonnement ; Sources de protéines végétales ; Argumentation / justification ; Plat complet / composition. La réponse doit rester concrète, reliée à la restauration collective et justifiée par au moins un exemple.</t>
  </si>
  <si>
    <t>Le tofu est une source de protéine végétale issue du soja. Il doit être signalé comme allergène soja. Pour être accepté, il faut le mariner, l’assaisonner ou l’intégrer dans une recette connue avec sauce, légumes et céréales, car nature il peut sembler fade.</t>
  </si>
  <si>
    <t>ALLERGENE_SOJA ; GOUT_ASSAISONNEMENT ; SOURCE_PROTEINES ; ARGUMENTATION ; PLAT_COMPLET</t>
  </si>
  <si>
    <t>Le tofu est une protéine végétale à base de soja, donc l’allergène soja doit être affiché. Pour qu’il soit meilleur, il faut l’assaisonner, le mariner ou le servir avec une sauce. Il peut entrer dans un plat complet avec légume, céréale et légumineuse.</t>
  </si>
  <si>
    <t>Viande et végétal</t>
  </si>
  <si>
    <t>Pourquoi faut-il éviter d’opposer les personnes qui mangent de la viande et celles qui mangent végétal ?</t>
  </si>
  <si>
    <t>Réponse solide attendue : Communication positive ; Sources de protéines végétales ; Argumentation / justification ; Plat complet / composition ; Contexte restauration collective. La réponse doit rester concrète, reliée à la restauration collective et justifiée par au moins un exemple.</t>
  </si>
  <si>
    <t>L’objectif n’est pas de supprimer brutalement la viande, mais d’introduire des protéines végétales de manière acceptable. Les lentilles, pois chiches ou haricots peuvent remplacer une partie de la viande si le plat reste complet, goûteux, bien présenté et compréhensible pour les convives.</t>
  </si>
  <si>
    <t>COMMUNICATION_POSITIVE ; SOURCE_PROTEINES ; ARGUMENTATION ; PLAT_COMPLET ; COLLECTIF</t>
  </si>
  <si>
    <t>Le but n’est pas forcément d’enlever toute la viande d’un coup. On peut introduire des protéines végétales comme les lentilles, pois chiches, haricots ou pois cassés dans des plats complets, bien présentés et bien assaisonnés pour donner envie aux convives.</t>
  </si>
  <si>
    <t xml:space="preserve">Professionnel  </t>
  </si>
  <si>
    <t>Construisez une méthode d’évaluation de l’acceptabilité d’une alternative végétale en restauration collective.</t>
  </si>
  <si>
    <t>Pour vérifier l’acceptabilité, je demande l’avis des convives, je regarde la satisfaction, les restes et le retour assiette. Un test avec indicateur permet de savoir si la recette doit être gardée, modifiée ou retravaillée.</t>
  </si>
  <si>
    <t>Achats</t>
  </si>
  <si>
    <t>Analysez les critères d’achat d’une protéine végétale : disponibilité, régularité, prix, origine et contraintes allergènes.</t>
  </si>
  <si>
    <t>Réponse solide attendue : Coût / prix / budget ; Approvisionnement / achats ; Sources de protéines végétales ; Argumentation / justification ; Plat complet / composition. La réponse doit rester concrète, reliée à la restauration collective et justifiée par au moins un exemple.</t>
  </si>
  <si>
    <t>Les achats doivent tenir compte du prix, de la disponibilité, du stockage, de l’origine locale, du fournisseur et du rendement. Les lentilles, pois chiches, haricots ou pois cassés peuvent être intéressants, mais il faut vérifier leur usage réel en production.</t>
  </si>
  <si>
    <t>COUT ; APPRO_ACHATS ; SOURCE_PROTEINES ; ARGUMENTATION ; PLAT_COMPLET</t>
  </si>
  <si>
    <t>Pour les achats, je regarde le prix, la disponibilité, le stockage, l’origine locale et l’approvisionnement. Les lentilles, pois chiches, haricots ou pois cassés doivent être adaptés au budget, à la production et au plat complet prévu.</t>
  </si>
  <si>
    <t>Élaborez une procédure de contrôle allergène pour les recettes contenant soja, gluten, lupin ou fruits à coque.</t>
  </si>
  <si>
    <t>Réponse solide attendue : Allergène soja ; Allergène gluten / seitan ; Allergène lupin ; Sources de protéines végétales ; Contrôle qualité avant service. La réponse doit rester concrète, reliée à la restauration collective et justifiée par au moins un exemple.</t>
  </si>
  <si>
    <t xml:space="preserve"> Allergènes : Si la recette contient soja, tofu, proteines de soja ou PST, l'allergene soja doit être affiché. Si on utilise gluten, seitan ou ble, il faut une information claire et une alternative sans gluten. Le lupin est un allergene à signaler sur l'affichage ou l'etiquette. La source de proteine vegetale peut être lentille, pois chiche, haricot ou pois casse. Avant service, je ferais un controle qualite avec grille, vérifier texture, sauce et temperature.</t>
  </si>
  <si>
    <t>ALLERGENE_SOJA ; ALLERGENE_GLUTEN_SEITAN ; ALLERGENE_LUPIN ; SOURCE_PROTEINES ; QUALITE</t>
  </si>
  <si>
    <t>Si la recette contient soja, tofu, protéines de soja, gluten, blé, seitan ou lupin, il faut le signaler clairement. Avant service, je vérifie aussi l’affichage, l’étiquette et le contrôle qualité pour sécuriser les convives.</t>
  </si>
  <si>
    <t>Alternative allergène</t>
  </si>
  <si>
    <t>Proposez une solution lorsque le plat végétal contient gluten ou soja et qu’un convive est allergique.</t>
  </si>
  <si>
    <t>Réponse solide attendue : Allergène soja ; Allergène gluten / seitan ; Satisfaction / acceptabilité ; Sources de protéines végétales ; Contexte restauration collective. La réponse doit rester concrète, reliée à la restauration collective et justifiée par au moins un exemple.</t>
  </si>
  <si>
    <t>Quand une recette contient soja, gluten, blé, seitan ou lupin, il faut signaler l’allergène et prévoir si possible une alternative. L’objectif est de sécuriser les convives sans improvisation au moment du service.</t>
  </si>
  <si>
    <t>ALLERGENE_SOJA ; ALLERGENE_GLUTEN_SEITAN ; SATISFACTION_ACCEPTABILITE ; SOURCE_PROTEINES ; COLLECTIF</t>
  </si>
  <si>
    <t>Quand un plat contient du soja, du tofu, des protéines de soja, du gluten, du blé ou du seitan, il faut prévenir et prévoir une alternative si possible. L’objectif est de sécuriser les convives concernés.</t>
  </si>
  <si>
    <t>Amélioration continue</t>
  </si>
  <si>
    <t>Construisez un plan d’action après un test négatif : recette, texture, sauce, communication, portion et mesure.</t>
  </si>
  <si>
    <t>Réponse solide attendue : Coût / prix / budget ; Communication positive ; Texture / mâche ; Sauce / moelleux ; Test / mesure / indicateurs. La réponse doit rester concrète, reliée à la restauration collective et justifiée par au moins un exemple.</t>
  </si>
  <si>
    <t>L’amélioration continue consiste à tester, mesurer, corriger puis stabiliser la recette. On observe les restes, les avis, la texture, la sauce, le goût, le coût et la production. Ensuite, on ajuste la fiche technique et le service.</t>
  </si>
  <si>
    <t>COUT ; COMMUNICATION_POSITIVE ; TEXTURE_MACHE ; SAUCE_MOELLEUX ; TEST_MESURE</t>
  </si>
  <si>
    <t>L’amélioration continue consiste à tester, mesurer puis corriger. Je regarde le coût, la communication, la texture, la sauce, les restes et les avis. Ensuite, j’améliore la recette pour qu’elle soit mieux acceptée.</t>
  </si>
  <si>
    <t>Professionnel</t>
  </si>
  <si>
    <t>Amélioration recette</t>
  </si>
  <si>
    <t>Proposez un plan d’action pour une galette végétale trop friable et mal acceptée.</t>
  </si>
  <si>
    <t>Réponse solide attendue : Décision / arbitrage ; Texture / mâche ; Satisfaction / acceptabilité ; Goût / assaisonnement ; Service / présentation / nom du plat. La réponse doit rester concrète, compréhensible terrain et contenir assez de déclencheurs pour que le moteur valide les critères.</t>
  </si>
  <si>
    <t>Pour améliorer une recette végétale, il faut agir sur le goût, la texture, la sauce, la présentation, le nom du plat et la portion. Les avis des convives et le retour assiette indiquent si la modification est efficace.</t>
  </si>
  <si>
    <t>DECISION_ARBITRAGE ; TEXTURE_MACHE ; SATISFACTION_ACCEPTABILITE ; GOUT_ASSAISONNEMENT ; SERVICE_PRESENTATION</t>
  </si>
  <si>
    <t>Pour améliorer une recette, je regarde les avis, la satisfaction, la texture, le goût, la sauce, la présentation et le retour assiette. Ensuite, je décide si je maintiens le plat, si je le retravaille ou si je fais un plan d’action.</t>
  </si>
  <si>
    <t>Approvisionnement</t>
  </si>
  <si>
    <t>Comparez l’approvisionnement en lentilles locales, tofu industriel et protéines texturées.</t>
  </si>
  <si>
    <t>Réponse solide attendue : Allergène soja ; Texture / mâche ; Approvisionnement / achats ; Sources de protéines végétales ; Argumentation / justification. La réponse doit rester concrète, reliée à la restauration collective et justifiée par au moins un exemple.</t>
  </si>
  <si>
    <t>L’approvisionnement doit être fiable, régulier et compatible avec le budget. Il faut vérifier achat, disponibilité, stockage, fournisseur, origine locale et coût. Le choix des protéines végétales doit rester réaliste pour une production en grande quantité.</t>
  </si>
  <si>
    <t>ALLERGENE_SOJA ; TEXTURE_MACHE ; APPRO_ACHATS ; SOURCE_PROTEINES ; ARGUMENTATION</t>
  </si>
  <si>
    <t>Pour l’approvisionnement, je vérifie les achats, le stockage, la disponibilité, l’origine locale et le fournisseur. Si la recette contient soja, tofu ou protéines de soja, je pense aussi à afficher l’allergène soja.</t>
  </si>
  <si>
    <t>Analysez un achat local de féverole ou de pois chiches pour la restauration collective.</t>
  </si>
  <si>
    <t>Réponse solide attendue : Approvisionnement / achats ; Coût / prix / budget ; Sources de protéines végétales ; Organisation / production ; Test / mesure / indicateurs. La réponse doit rester concrète, compréhensible terrain et contenir assez de déclencheurs pour que le moteur valide les critères.</t>
  </si>
  <si>
    <t xml:space="preserve"> Approvisionnement : L'approvisionnement dépend de l'achat, de la disponibilite, du stockage, de l'origine locale et du fournisseur. Je comparerais cout, prix, budget, portion, matiere, achat et temps réel. La source de proteine vegetale peut être lentille, pois chiche, haricot ou pois casse. La production demande organisation, materiel, fiche technique, temps et poste clair. Je proposerais un test avec indicateur, protocole, suivi, peser les restes et mesurer les avis.</t>
  </si>
  <si>
    <t>APPRO_ACHATS ; COUT ; SOURCE_PROTEINES ; ORGANISATION_PROD ; TEST_MESURE</t>
  </si>
  <si>
    <t>L’approvisionnement doit être fiable et adapté à la production. Je regarde les achats, le stockage, l’origine locale, la disponibilité, le coût, le fournisseur et les quantités. Les protéines végétales doivent rester réalistes pour le service.</t>
  </si>
  <si>
    <t>Approvisionnement pratique</t>
  </si>
  <si>
    <t>Comparez lentilles sèches, appertisées et surgelées pour une cuisine centrale.</t>
  </si>
  <si>
    <t>Réponse solide attendue : Approvisionnement / achats ; Coût / prix / budget ; Organisation / production ; Cuisson / tenue au chaud ; Contrôle qualité avant service. La réponse doit rester concrète, compréhensible terrain et contenir assez de déclencheurs pour que le moteur valide les critères.</t>
  </si>
  <si>
    <t>L’approvisionnement pratique dépend du fournisseur, de la disponibilité, du stockage, du prix, de l’origine et de la régularité. Il faut choisir des protéines végétales compatibles avec les volumes, les fiches techniques et les contraintes de production.</t>
  </si>
  <si>
    <t>APPRO_ACHATS ; COUT ; ORGANISATION_PROD ; CUISSON_TENUE ; QUALITE</t>
  </si>
  <si>
    <t>Réponse jeune CFA sur approvisionnement pratique : Je regarde l'achat, l'approvisionnement, le stockage, l'origine locale et la disponibilite. Je regarde le cout, le prix de la portion, la matiere, l'achat et le budget. En production, il faut de l'organisation, le materiel, la fiche technique et le temps. Je vérifie cuisson, maintien au chaud, rechauffage et si ça sèche après 45 minutes. Avant service, je fais un controle qualite avec une grille et je vérifie le plat.</t>
  </si>
  <si>
    <t>Arbitrage</t>
  </si>
  <si>
    <t>Analysez un cas où le plat végétal est nutritionnellement correct mais peu apprécié par les convives.</t>
  </si>
  <si>
    <t>Réponse solide attendue : Satisfaction / acceptabilité ; Lecture nutritionnelle ; Sources de protéines végétales ; Contexte restauration collective ; Décision / arbitrage. La réponse doit rester concrète, reliée à la restauration collective et justifiée par au moins un exemple.</t>
  </si>
  <si>
    <t>L’arbitrage consiste à comparer nutrition, coût, production, satisfaction et gaspillage. Un plat végétal peut être intéressant, mais il doit rester accepté, maîtrisé en cuisine et consommé par les convives. La décision doit rester terrain.</t>
  </si>
  <si>
    <t>SATISFACTION_ACCEPTABILITE ; NUTRITION ; SOURCE_PROTEINES ; COLLECTIF ; DECISION_ARBITRAGE</t>
  </si>
  <si>
    <t>Un arbitrage consiste à comparer plusieurs points : nutrition, coût, satisfaction, convives, production et gaspillage. Je peux ensuite décider de garder le plat, de le modifier ou de le retravailler.</t>
  </si>
  <si>
    <t>Décidez si une recette végétale doit être maintenue, retravaillée ou retirée après test.</t>
  </si>
  <si>
    <t>Réponse solide attendue : Décision / arbitrage ; Test / mesure / indicateurs ; Satisfaction / acceptabilité ; Gaspillage / retours assiette ; Coût / prix / budget. La réponse doit rester concrète, compréhensible terrain et contenir assez de déclencheurs pour que le moteur valide les critères.</t>
  </si>
  <si>
    <t xml:space="preserve"> Arbitrage : La decision peut être maintenir, retravailler ou faire un plan d action d'amelioration continue. Je proposerais un test avec indicateur, protocole, suivi, peser les restes et mesurer les avis. Il faut mesurer la satisfaction, l'acceptabilite, les avis et le retour des convives. Je suivrais le gaspillage, les reste, le retour assiette et les pertes. Je comparerais cout, prix, budget, portion, matiere, achat et temps réel.</t>
  </si>
  <si>
    <t>DECISION_ARBITRAGE ; TEST_MESURE ; SATISFACTION_ACCEPTABILITE ; GASPILLAGE_RESTES ; COUT</t>
  </si>
  <si>
    <t>Pour arbitrer, je regarde les avis des convives, la satisfaction, les restes, le gaspillage, le coût, le budget et les indicateurs. Ensuite, je décide si on maintient, si on retravaille ou si on met en place un plan d’action.</t>
  </si>
  <si>
    <t>Argumentaire service</t>
  </si>
  <si>
    <t>Rédigez les points que l’équipe de service peut donner pour présenter simplement un plat végétal.</t>
  </si>
  <si>
    <t>Réponse solide attendue : Communication positive ; Service / présentation / nom du plat ; Sources de protéines végétales ; Argumentation / justification ; Plat complet / composition. La réponse doit rester concrète, reliée à la restauration collective et justifiée par au moins un exemple.</t>
  </si>
  <si>
    <t>L’argumentaire de service doit être simple et positif. Il faut présenter le plat par son goût, sa recette, sa sauce, ses ingrédients et son intérêt nutritionnel, sans donner l’impression d’une contrainte ou d’une suppression de viande.</t>
  </si>
  <si>
    <t>COMMUNICATION_POSITIVE ; SERVICE_PRESENTATION ; SOURCE_PROTEINES ; ARGUMENTATION ; PLAT_COMPLET</t>
  </si>
  <si>
    <t>Au service, il faut expliquer simplement le plat de manière positive. Je parle du goût, de la sauce, des ingrédients et de l’équilibre, sans culpabiliser. Le but est de donner envie aux convives de goûter.</t>
  </si>
  <si>
    <t>Analysez l’impact de l’assaisonnement sur l’acceptation d’un plat à base de légumineuses.</t>
  </si>
  <si>
    <t>Réponse solide attendue : Goût / assaisonnement ; Plat complet / composition ; Argumentation / justification ; Sources de protéines végétales ; Contexte restauration collective. La réponse doit rester concrète, reliée à la restauration collective et justifiée par au moins un exemple.</t>
  </si>
  <si>
    <t>GOUT_ASSAISONNEMENT ; PLAT_COMPLET ; ARGUMENTATION ; SOURCE_PROTEINES ; COLLECTIF</t>
  </si>
  <si>
    <t>L’assaisonnement donne du goût au plat végétal. J’utilise épices, herbes, aromates, marinade ou sauce. Avec des lentilles, pois chiches, haricots ou pois cassés, cela rend le plat plus agréable pour les convives.</t>
  </si>
  <si>
    <t>Association céréales légumineuses</t>
  </si>
  <si>
    <t>Analysez l’intérêt d’associer céréales et légumineuses dans un menu collectif.</t>
  </si>
  <si>
    <t>L’association céréale et légumineuse permet de construire un plat végétal plus complet. Par exemple, riz et lentilles, semoule et pois chiches, blé et haricots ou pâtes et lentilles. Il faut ajouter légumes, sauce et assaisonnement pour améliorer l’acceptabilité.</t>
  </si>
  <si>
    <t>MENU_CYCLE ; PLAT_COMPLET ; ARGUMENTATION ; SOURCE_PROTEINES ; COLLECTIF</t>
  </si>
  <si>
    <t>Associer une céréale et une légumineuse permet de construire un plat végétal plus complet. Par exemple, riz et lentilles, semoule et pois chiches ou haricots et céréales. J’ajoute aussi un légume et une sauce.</t>
  </si>
  <si>
    <t>Budget annuel</t>
  </si>
  <si>
    <t>Analysez l’impact d’un plan protéines végétales sur budget, achats et cycle de menus.</t>
  </si>
  <si>
    <t>Réponse solide attendue : Coût / prix / budget ; Approvisionnement / achats ; Cycle de menus / diversification ; Sources de protéines végétales ; Organisation / production. La réponse doit rester concrète, compréhensible terrain et contenir assez de déclencheurs pour que le moteur valide les critères.</t>
  </si>
  <si>
    <t>Le budget annuel doit intégrer les achats, la disponibilité, le stockage, le coût portion, la main-d’œuvre, les pertes et la fréquence des plats végétaux dans le cycle de menu. Une recette doit être soutenable sur la durée.</t>
  </si>
  <si>
    <t>COUT ; APPRO_ACHATS ; MENU_CYCLE ; SOURCE_PROTEINES ; ORGANISATION_PROD</t>
  </si>
  <si>
    <t>Réponse jeune CFA sur budget annuel : Je regarde le cout, le prix de la portion, la matiere, l'achat et le budget. Je regarde l'achat, l'approvisionnement, le stockage, l'origine locale et la disponibilite. Sur le cycle de menu, il faut varier chaque semaine et éviter la repetition. Je cite une proteine vegetale comme lentille, pois chiche, haricot ou pois casse. En production, il faut de l'organisation, le materiel, la fiche technique et le temps.</t>
  </si>
  <si>
    <t>Rédigez une recommandation de communication pour valoriser un plat végétal sans discours moralisateur.</t>
  </si>
  <si>
    <t xml:space="preserve"> Communication : La communication doit presenter le plat de façon positive, donner envie et éviter de culpabiliser. La source de proteine vegetale peut être lentille, pois chiche, haricot ou pois casse. parce que la réponse doit expliquer la cause, la conséquence et l'amélioration possible. Je construirais un plat complet avec legumineuse, cereale, legume et sauce. En collectivite, il faut penser au self, au service, aux convives et à la grande quantite.</t>
  </si>
  <si>
    <t>Pour bien communiquer, je présente le plat végétal de façon positive. Je parle du goût, de la recette, de la sauce et des ingrédients, sans culpabiliser les convives. Le but est de donner envie de goûter.</t>
  </si>
  <si>
    <t>Coût global</t>
  </si>
  <si>
    <t>Expliquez pourquoi le coût portion doit être analysé avec le temps de main-d’œuvre, les pertes et la satisfaction.</t>
  </si>
  <si>
    <t>Réponse solide attendue : Coût / prix / budget ; Gaspillage / retours assiette ; Satisfaction / acceptabilité ; Argumentation / justification ; Sources de protéines végétales. La réponse doit rester concrète, reliée à la restauration collective et justifiée par au moins un exemple.</t>
  </si>
  <si>
    <t>Le coût global comprend les achats, la matière, le temps de production, la main-d’œuvre, les pertes, les restes et l’acceptabilité. Une recette végétale doit donc être évaluée sur le budget, mais aussi sur la consommation réelle par les convives.</t>
  </si>
  <si>
    <t>COUT ; GASPILLAGE_RESTES ; SATISFACTION_ACCEPTABILITE ; ARGUMENTATION ; SOURCE_PROTEINES</t>
  </si>
  <si>
    <t>Le coût global comprend le coût portion, la matière, les achats, le budget, les pertes, les restes et la satisfaction des convives. Un plat végétal doit être économique, mais aussi bon et réellement mangé.</t>
  </si>
  <si>
    <t>Cycle long</t>
  </si>
  <si>
    <t>Proposez une diversification sur plusieurs semaines entre lentilles, haricots, pois chiches, soja, tofu et pois cassés.</t>
  </si>
  <si>
    <t>Réponse solide attendue : Allergène soja ; Cycle de menus / diversification ; Sources de protéines végétales ; Argumentation / justification ; Plat complet / composition. La réponse doit rester concrète, reliée à la restauration collective et justifiée par au moins un exemple.</t>
  </si>
  <si>
    <t>Sur un cycle long, il faut varier les recettes végétales pour éviter la lassitude. On peut alterner lentilles, pois chiches, haricots, pois cassés, soja, tofu ou autres sources végétales. Le suivi des retours permet d’ajuster les menus.</t>
  </si>
  <si>
    <t>ALLERGENE_SOJA ; MENU_CYCLE ; SOURCE_PROTEINES ; ARGUMENTATION ; PLAT_COMPLET</t>
  </si>
  <si>
    <t>Sur un cycle long, il faut varier les recettes végétales pour éviter la lassitude. Si on utilise du soja, du tofu ou des protéines de soja, l’allergène doit être affiché. Il faut aussi varier lentilles, pois chiches, haricots et sauces.</t>
  </si>
  <si>
    <t>Décision</t>
  </si>
  <si>
    <t>À partir de coût stable, satisfaction moyenne et gaspillage en baisse, expliquez si le plat doit être maintenu ou retravaillé.</t>
  </si>
  <si>
    <t>Réponse solide attendue : Coût / prix / budget ; Gaspillage / retours assiette ; Satisfaction / acceptabilité ; Décision / arbitrage ; Argumentation / justification. La réponse doit rester concrète, reliée à la restauration collective et justifiée par au moins un exemple.</t>
  </si>
  <si>
    <t>La décision doit s’appuyer sur des faits : coût réel, satisfaction, gaspillage, retour assiette, goût, texture et contraintes de production. Ensuite, on peut maintenir la recette, la retravailler ou lancer un plan d’amélioration continue.</t>
  </si>
  <si>
    <t>COUT ; GASPILLAGE_RESTES ; SATISFACTION_ACCEPTABILITE ; DECISION_ARBITRAGE ; ARGUMENTATION</t>
  </si>
  <si>
    <t>Pour prendre une décision, je regarde le coût, le budget, les restes, le gaspillage, la satisfaction et les avis des convives. Ensuite, je peux maintenir la recette, la retravailler ou faire un plan d’action.</t>
  </si>
  <si>
    <t>Diagnostic global</t>
  </si>
  <si>
    <t>Rédigez un diagnostic complet sur une offre végétale en intégrant nutrition, coût, goût, allergènes, production et satisfaction.</t>
  </si>
  <si>
    <t>Réponse solide attendue : Coût / prix / budget ; Satisfaction / acceptabilité ; Goût / assaisonnement ; Organisation / production ; Lecture nutritionnelle. La réponse doit rester concrète, reliée à la restauration collective et justifiée par au moins un exemple.</t>
  </si>
  <si>
    <t>Un diagnostic global doit croiser coût, production, nutrition, goût, texture, satisfaction, allergènes et retour assiette. Une bonne réponse ne se limite pas à citer des protéines végétales : elle explique ce qui fonctionne, ce qui bloque et comment améliorer.</t>
  </si>
  <si>
    <t>COUT ; SATISFACTION_ACCEPTABILITE ; GOUT_ASSAISONNEMENT ; ORGANISATION_PROD ; NUTRITION</t>
  </si>
  <si>
    <t>Pour faire un diagnostic global, je regarde le coût, la satisfaction, le goût, l’organisation, la fiche technique, la production et la nutrition. Je dois relier les protéines, fibres, fer, équilibre et satiété au résultat réel du plat.</t>
  </si>
  <si>
    <t>Diagnostic service</t>
  </si>
  <si>
    <t>Analysez un refus convive lié au dressage, au nom du plat et au manque de sauce.</t>
  </si>
  <si>
    <t>Réponse solide attendue : Service / présentation / nom du plat ; Non-goûts / refus ; Sauce / moelleux ; Satisfaction / acceptabilité ; Argumentation / justification. La réponse doit rester concrète, compréhensible terrain et contenir assez de déclencheurs pour que le moteur valide les critères.</t>
  </si>
  <si>
    <t>Le diagnostic service observe ce qui se passe au self : présentation, nom du plat, température, sauce, refus, non-goûts, avis et retour assiette. Il permet de comprendre si le problème vient de la recette, du service ou de la communication.</t>
  </si>
  <si>
    <t>SERVICE_PRESENTATION ; NON_GOUTS ; SAUCE_MOELLEUX ; SATISFACTION_ACCEPTABILITE ; ARGUMENTATION</t>
  </si>
  <si>
    <t>Réponse jeune CFA sur diagnostic service : Au service ou au self, la presentation, le dressage et le nom du plat doivent donner envie. Certains n'aiment pas : il faut repérer refus, non gout, habitude et preference du public. Il faut assez de sauce pour garder le moelleux et l'humidite. Je demande l'avis des convives pour voir la satisfaction et l'acceptabilite. Je dis pourquoi, parce que sinon on fait juste une liste.</t>
  </si>
  <si>
    <t>Proposez une adaptation d’un plat végétal pour un public EHPAD avec contraintes de texture, goût et apports nutritionnels.</t>
  </si>
  <si>
    <t>Réponse solide attendue : Texture / mâche ; Goût / assaisonnement ; Adaptation EHPAD / textures ; Lecture nutritionnelle ; Sources de protéines végétales. La réponse doit rester concrète, reliée à la restauration collective et justifiée par au moins un exemple.</t>
  </si>
  <si>
    <t xml:space="preserve"> EHPAD : La texture et la mache doivent rester moelleuses, pas farineuses ni seches. Le gout doit être travaillé avec assaisonnement, epice, aromate ou marinade. En EHPAD ou pour personne agee, je prévoirais texture modifiee, mixee, onctueuse ou manger main. La lecture nutrition porte sur proteine, fibres, fer, equilibre et satiete. La source de proteine vegetale peut être lentille, pois chiche, haricot ou pois casse.</t>
  </si>
  <si>
    <t>TEXTURE_MACHE ; GOUT_ASSAISONNEMENT ; EHPAD_TEXTURE ; NUTRITION ; SOURCE_PROTEINES</t>
  </si>
  <si>
    <t>En EHPAD, le plat végétal doit être adapté aux personnes âgées. Je pense au goût, à la texture modifiée, mixée, onctueuse ou manger-main, mais aussi à l’équilibre nutritionnel avec protéines, fibres, fer et satiété.</t>
  </si>
  <si>
    <t>Étiquetage</t>
  </si>
  <si>
    <t>Analysez les informations à faire apparaître sur l’affichage d’un plat végétal contenant allergènes ou traces possibles.</t>
  </si>
  <si>
    <t>Réponse solide attendue : Information réglementaire / affichage ; Sources de protéines végétales ; Argumentation / justification ; Plat complet / composition ; Contexte restauration collective. La réponse doit rester concrète, reliée à la restauration collective et justifiée par au moins un exemple.</t>
  </si>
  <si>
    <t>L’étiquetage doit être clair, lisible et à jour. Il doit signaler les allergènes comme soja, gluten, blé ou lupin si présents. L’information doit être disponible avant service pour éviter les erreurs auprès des convives.</t>
  </si>
  <si>
    <t>REGLEMENTAIRE_INFO ; SOURCE_PROTEINES ; ARGUMENTATION ; PLAT_COMPLET ; COLLECTIF</t>
  </si>
  <si>
    <t>L’étiquetage doit être clair avant le service. Il faut afficher les allergènes, le nom du plat et les informations utiles. Si le plat contient soja, gluten, blé ou lupin, les convives doivent pouvoir le voir facilement.</t>
  </si>
  <si>
    <t>Expliquez comment intégrer la question du fer dans l’évaluation nutritionnelle d’un repas végétal.</t>
  </si>
  <si>
    <t>Réponse solide attendue : Test / mesure / indicateurs ; Lecture nutritionnelle ; Sources de protéines végétales ; Argumentation / justification ; Plat complet / composition. La réponse doit rester concrète, reliée à la restauration collective et justifiée par au moins un exemple.</t>
  </si>
  <si>
    <t>TEST_MESURE ; NUTRITION ; SOURCE_PROTEINES ; ARGUMENTATION ; PLAT_COMPLET</t>
  </si>
  <si>
    <t>Le fer d’origine végétale peut venir des lentilles, pois chiches, haricots ou pois cassés. Pour que la réponse soit complète, j’explique l’intérêt nutritionnel et je construis un plat avec légumineuse, céréale, légume et sauce.</t>
  </si>
  <si>
    <t>Féverole</t>
  </si>
  <si>
    <t>Analysez les conditions d’utilisation d’une féverole locale dans une recette collective.</t>
  </si>
  <si>
    <t>Réponse solide attendue : Approvisionnement / achats ; Sources de protéines végétales ; Contexte restauration collective ; Argumentation / justification ; Plat complet / composition. La réponse doit rester concrète, reliée à la restauration collective et justifiée par au moins un exemple.</t>
  </si>
  <si>
    <t>La féverole peut être une source locale de protéine végétale. Il faut vérifier l’approvisionnement, le stockage, le fournisseur, le coût et l’acceptabilité. En recette, elle doit être associée à une céréale, un légume, une sauce et un assaisonnement adapté.</t>
  </si>
  <si>
    <t>APPRO_ACHATS ; SOURCE_PROTEINES ; COLLECTIF ; ARGUMENTATION ; PLAT_COMPLET</t>
  </si>
  <si>
    <t>La féverole peut être une protéine végétale intéressante, mais il faut vérifier l’approvisionnement, le stockage, la disponibilité, l’origine locale et le coût. En plat, elle doit être associée à une céréale, un légume et une sauce.</t>
  </si>
  <si>
    <t>Analysez l’effet des fibres sur la satiété, la digestion et l’acceptabilité d’un plat végétal.</t>
  </si>
  <si>
    <t>Réponse solide attendue : Satisfaction / acceptabilité ; Lecture nutritionnelle ; Sources de protéines végétales ; Argumentation / justification ; Plat complet / composition. La réponse doit rester concrète, reliée à la restauration collective et justifiée par au moins un exemple.</t>
  </si>
  <si>
    <t>SATISFACTION_ACCEPTABILITE ; NUTRITION ; SOURCE_PROTEINES ; ARGUMENTATION ; PLAT_COMPLET</t>
  </si>
  <si>
    <t>Les fibres participent à l’équilibre et à la satiété. On en trouve dans les légumineuses comme lentilles, pois chiches, haricots ou pois cassés. Mais le plat doit rester bon, avec une bonne sauce, une bonne texture et une présentation correcte.</t>
  </si>
  <si>
    <t>Fiche technique</t>
  </si>
  <si>
    <t>Auditez une fiche technique de plat végétal en vérifiant grammage, coût portion, rendement, allergènes et tenue au chaud.</t>
  </si>
  <si>
    <t>Réponse solide attendue : Coût / prix / budget ; Texture / mâche ; Cuisson / tenue au chaud ; Organisation / production ; Sources de protéines végétales. La réponse doit rester concrète, reliée à la restauration collective et justifiée par au moins un exemple.</t>
  </si>
  <si>
    <t>La fiche technique doit préciser les ingrédients, les quantités, le coût portion, le matériel, les étapes, les températures, les allergènes et les points de contrôle. Pour un plat végétal, elle doit aussi sécuriser la texture, la sauce et la tenue au chaud.</t>
  </si>
  <si>
    <t>COUT ; TEXTURE_MACHE ; CUISSON_TENUE ; ORGANISATION_PROD ; SOURCE_PROTEINES</t>
  </si>
  <si>
    <t>La fiche technique doit aider à produire correctement le plat. Elle précise les ingrédients, le coût, les portions, le matériel, l’organisation, la cuisson, le maintien au chaud, la texture et les points de contrôle avant service.</t>
  </si>
  <si>
    <t>Formation équipe</t>
  </si>
  <si>
    <t>Construisez une consigne de formation pour expliquer aux équipes les protéines végétales sans discours idéologique.</t>
  </si>
  <si>
    <t>L’équipe doit comprendre pourquoi la recette est proposée, comment elle est produite, quels allergènes elle contient et comment la présenter aux convives. Une bonne formation évite les erreurs de service et améliore l’acceptabilité.</t>
  </si>
  <si>
    <t>L’équipe doit savoir présenter le plat, expliquer les ingrédients, repérer les allergènes et comprendre l’intérêt des protéines végétales. Une bonne formation aide à mieux servir le plat et à répondre aux questions des convives.</t>
  </si>
  <si>
    <t>Analysez les causes possibles d’un gaspillage élevé sur un plat végétal nouvellement introduit.</t>
  </si>
  <si>
    <t xml:space="preserve"> Gaspillage : Je suivrais le gaspillage, les reste, le retour assiette et les pertes. La source de proteine vegetale peut être lentille, pois chiche, haricot ou pois casse. parce que la réponse doit expliquer la cause, la conséquence et l'amélioration possible. Je construirais un plat complet avec legumineuse, cereale, legume et sauce. En collectivite, il faut penser au self, au service, aux convives et à la grande quantite.</t>
  </si>
  <si>
    <t>Le gaspillage se voit avec les restes et le retour assiette. Si un plat avec lentilles, pois chiches, haricots ou pois cassés revient beaucoup, je dois revoir le goût, la sauce, la texture, la portion ou la présentation.</t>
  </si>
  <si>
    <t>Graines</t>
  </si>
  <si>
    <t>Évaluez l’intérêt des graines dans une recette végétale en tenant compte du coût et des allergènes possibles.</t>
  </si>
  <si>
    <t>Réponse solide attendue : Coût / prix / budget ; Sources de protéines végétales ; Argumentation / justification ; Plat complet / composition ; Contexte restauration collective. La réponse doit rester concrète, reliée à la restauration collective et justifiée par au moins un exemple.</t>
  </si>
  <si>
    <t>Les graines peuvent compléter un plat végétal, mais elles doivent être utilisées avec maîtrise. Il faut tenir compte du coût, des allergies possibles, de la texture, de la présentation et de l’acceptabilité. Elles ne remplacent pas à elles seules une vraie construction de plat.</t>
  </si>
  <si>
    <t>COUT ; SOURCE_PROTEINES ; ARGUMENTATION ; PLAT_COMPLET ; COLLECTIF</t>
  </si>
  <si>
    <t>Les graines peuvent compléter un plat végétal, mais elles ne suffisent pas seules. Je regarde le coût, la texture, la portion, l’acceptabilité et les allergies possibles. Elles peuvent accompagner des légumineuses, une céréale, un légume et une sauce.</t>
  </si>
  <si>
    <t>HACCP</t>
  </si>
  <si>
    <t>Proposez les contrôles HACCP essentiels pour une production collective de chili végétal.</t>
  </si>
  <si>
    <t>Réponse solide attendue : Hygiène / HACCP / sécurité sanitaire ; Organisation / production ; Sources de protéines végétales ; Contexte restauration collective ; Recette connue / adaptation. La réponse doit rester concrète, reliée à la restauration collective et justifiée par au moins un exemple.</t>
  </si>
  <si>
    <t>La démarche HACCP doit encadrer la production du plat végétal : température, refroidissement, traçabilité, stockage, réchauffage et contrôle sanitaire. La recette doit aussi préciser les allergènes, les étapes critiques et les vérifications avant service.</t>
  </si>
  <si>
    <t>HYGIENE_HACCP ; ORGANISATION_PROD ; SOURCE_PROTEINES ; COLLECTIF ; RECETTE_FAMILIERE</t>
  </si>
  <si>
    <t>L’HACCP sert à sécuriser la production. Je vérifie les températures, le refroidissement, la traçabilité, le réchauffage, le matériel et l’organisation. Même avec des lentilles, pois chiches ou haricots, les règles d’hygiène restent indispensables.</t>
  </si>
  <si>
    <t>Quelles précautions HACCP prendre pour refroidir et réchauffer un plat de légumineuses ?</t>
  </si>
  <si>
    <t>Réponse solide attendue : Hygiène / HACCP / sécurité sanitaire ; Cuisson / tenue au chaud ; Organisation / production ; Contrôle qualité avant service ; Contexte restauration collective. La réponse doit rester concrète, compréhensible terrain et contenir assez de déclencheurs pour que le moteur valide les critères.</t>
  </si>
  <si>
    <t>HYGIENE_HACCP ; CUISSON_TENUE ; ORGANISATION_PROD ; QUALITE ; COLLECTIF</t>
  </si>
  <si>
    <t>Réponse jeune CFA sur hygiène : Je respecte hygiene, HACCP, temperature, refroidissement et tracabilite. Je vérifie cuisson, maintien au chaud, rechauffage et si ça sèche après 45 minutes. En production, il faut de l'organisation, le materiel, la fiche technique et le temps. Avant service, je fais un controle qualite avec une grille et je vérifie le plat. Au self ou au service, il faut penser aux convives et aux grandes quantites.</t>
  </si>
  <si>
    <t>Image du plat</t>
  </si>
  <si>
    <t>Analysez l’effet du vocabulaire utilisé dans le nom du plat sur l’envie de goûter.</t>
  </si>
  <si>
    <t>L’image du plat compte beaucoup. Un plat végétal doit avoir un nom clair, une présentation appétissante, une sauce visible et une communication positive. Le convive doit avoir envie de goûter avant même de penser à la dimension nutritionnelle.</t>
  </si>
  <si>
    <t>L’image du plat compte beaucoup. Le nom, la présentation, le dressage, la sauce et le goût doivent donner envie. Il ne faut pas présenter le végétal comme une punition, mais comme une vraie recette.</t>
  </si>
  <si>
    <t>Indicateurs</t>
  </si>
  <si>
    <t>Définissez les indicateurs à suivre après trois mois d’introduction de plats végétaux.</t>
  </si>
  <si>
    <t>Réponse solide attendue : Test / mesure / indicateurs ; Argumentation / justification ; Sources de protéines végétales ; Plat complet / composition ; Contexte restauration collective. La réponse doit rester concrète, reliée à la restauration collective et justifiée par au moins un exemple.</t>
  </si>
  <si>
    <t>Les indicateurs utiles sont la satisfaction, les avis, les restes, le retour assiette, le coût portion, les pertes et la tenue au chaud. Ces mesures permettent de décider si la recette doit être maintenue, modifiée ou remplacée.</t>
  </si>
  <si>
    <t>TEST_MESURE ; ARGUMENTATION ; SOURCE_PROTEINES ; PLAT_COMPLET ; COLLECTIF</t>
  </si>
  <si>
    <t>Les indicateurs servent à mesurer le résultat réel. Je peux suivre les avis, la satisfaction, les restes, le retour assiette, le coût portion et les pertes. Ces informations aident à améliorer la recette.</t>
  </si>
  <si>
    <t>Évaluez la place des lentilles, pois chiches, haricots et pois cassés dans une offre végétale régulière.</t>
  </si>
  <si>
    <t>Les légumineuses comme lentilles, pois chiches, haricots ou pois cassés apportent des protéines végétales, fibres, fer et satiété. Pour un plat complet, je les associe avec une céréale, un légume et une sauce.</t>
  </si>
  <si>
    <t>Liaison froide</t>
  </si>
  <si>
    <t>Analysez les contraintes d’un plat végétal en liaison froide : refroidissement, remise en température et texture finale.</t>
  </si>
  <si>
    <t>Réponse solide attendue : Texture / mâche ; Sauce / moelleux ; Cuisson / tenue au chaud ; Hygiène / HACCP / sécurité sanitaire ; Sources de protéines végétales. La réponse doit rester concrète, reliée à la restauration collective et justifiée par au moins un exemple.</t>
  </si>
  <si>
    <t>En liaison froide, il faut sécuriser cuisson, refroidissement, stockage, traçabilité, réchauffage et température de service. Un plat végétal doit aussi garder sa sauce, son moelleux et sa texture après remise en température.</t>
  </si>
  <si>
    <t>TEXTURE_MACHE ; SAUCE_MOELLEUX ; CUISSON_TENUE ; HYGIENE_HACCP ; SOURCE_PROTEINES</t>
  </si>
  <si>
    <t>En liaison froide, je respecte l’hygiène, l’HACCP, la température, le refroidissement, la traçabilité et le réchauffage. Je vérifie aussi que le plat garde une bonne sauce, une texture moelleuse et une qualité correcte au service.</t>
  </si>
  <si>
    <t>Lupin</t>
  </si>
  <si>
    <t>Évaluez l’intérêt nutritionnel et les risques allergènes d’une recette contenant du lupin.</t>
  </si>
  <si>
    <t>Réponse solide attendue : Allergène lupin ; Lecture nutritionnelle ; Sources de protéines végétales ; Argumentation / justification ; Plat complet / composition. La réponse doit rester concrète, reliée à la restauration collective et justifiée par au moins un exemple.</t>
  </si>
  <si>
    <t>Le lupin peut apporter des protéines végétales, mais c’est un allergène à signaler. Toute recette contenant du lupin doit avoir une information claire sur l’étiquette ou l’affichage. Il faut aussi vérifier goût, texture, coût et acceptabilité.</t>
  </si>
  <si>
    <t>ALLERGENE_LUPIN ; NUTRITION ; SOURCE_PROTEINES ; ARGUMENTATION ; PLAT_COMPLET</t>
  </si>
  <si>
    <t>Le lupin peut être une source de protéine végétale, mais c’est aussi un allergène. Il faut donc le signaler clairement sur l’affichage. Je garde aussi la logique du plat complet avec légumineuse, céréale, légume et sauce.</t>
  </si>
  <si>
    <t>Main-d’œuvre</t>
  </si>
  <si>
    <t>Évaluez la part du temps de préparation dans le coût réel d’une alternative végétale.</t>
  </si>
  <si>
    <t>Réponse solide attendue : Coût / prix / budget ; Organisation / production ; Sources de protéines végétales ; Argumentation / justification ; Plat complet / composition. La réponse doit rester concrète, reliée à la restauration collective et justifiée par au moins un exemple.</t>
  </si>
  <si>
    <t>La main-d’œuvre doit être prise en compte dans le coût réel. Un plat végétal peut sembler économique en matière première, mais demander plus de préparation, de cuisson, de contrôle ou de dressage. La fiche technique doit intégrer ce temps réel.</t>
  </si>
  <si>
    <t>COUT ; ORGANISATION_PROD ; SOURCE_PROTEINES ; ARGUMENTATION ; PLAT_COMPLET</t>
  </si>
  <si>
    <t>La main-d’œuvre compte dans le coût réel. Un plat végétal peut coûter moins cher en matière première, mais demander plus de préparation, d’organisation, de cuisson ou de contrôle. Il faut donc regarder le temps de travail.</t>
  </si>
  <si>
    <t>Manger-main</t>
  </si>
  <si>
    <t>Évaluez la possibilité de transformer une préparation végétale en format manger-main pour personnes âgées.</t>
  </si>
  <si>
    <t>Réponse solide attendue : Adaptation EHPAD / textures ; Sources de protéines végétales ; Argumentation / justification ; Plat complet / composition ; Contexte restauration collective. La réponse doit rester concrète, reliée à la restauration collective et justifiée par au moins un exemple.</t>
  </si>
  <si>
    <t>Le manger-main peut permettre à certains convives de manger plus facilement. Il faut prévoir une texture adaptée, une bonne tenue, du goût, une sauce maîtrisée et une sécurité sanitaire correcte. Les protéines végétales doivent rester lisibles et acceptables.</t>
  </si>
  <si>
    <t>EHPAD_TEXTURE ; SOURCE_PROTEINES ; ARGUMENTATION ; PLAT_COMPLET ; COLLECTIF</t>
  </si>
  <si>
    <t>Le manger-main doit être facile à prendre, agréable à manger et adapté aux convives. Même avec des protéines végétales, il faut garder une bonne texture, du goût, une sauce maîtrisée et un plat complet.</t>
  </si>
  <si>
    <t>Menu familial</t>
  </si>
  <si>
    <t>Évaluez la réception possible d’un plat végétal lors d’un repas avec familles, résidents ou invités extérieurs.</t>
  </si>
  <si>
    <t>Réponse solide attendue : Adaptation EHPAD / textures ; Cycle de menus / diversification ; Sources de protéines végétales ; Argumentation / justification ; Plat complet / composition. La réponse doit rester concrète, reliée à la restauration collective et justifiée par au moins un exemple.</t>
  </si>
  <si>
    <t>Un menu végétal peut mieux fonctionner s’il reste proche de recettes familiales. Chili, curry, bolognaise végétale ou sauce tomate rassurent davantage qu’une recette trop inconnue. En EHPAD, il faut aussi adapter texture, sauce et facilité de consommation.</t>
  </si>
  <si>
    <t>EHPAD_TEXTURE ; MENU_CYCLE ; SOURCE_PROTEINES ; ARGUMENTATION ; PLAT_COMPLET</t>
  </si>
  <si>
    <t>Un menu végétal fonctionne mieux s’il reste proche de plats connus. En EHPAD, il faut aussi prévoir une texture adaptée, mixée, onctueuse ou manger-main. Le plat doit rester complet, varié et acceptable.</t>
  </si>
  <si>
    <t>Mesure terrain</t>
  </si>
  <si>
    <t>Proposez un protocole de test pour mesurer satisfaction et gaspillage sur un chili végétal.</t>
  </si>
  <si>
    <t>Réponse solide attendue : Test / mesure / indicateurs ; Satisfaction / acceptabilité ; Gaspillage / retours assiette ; Recette connue / adaptation ; Contexte restauration collective. La réponse doit rester concrète, compréhensible terrain et contenir assez de déclencheurs pour que le moteur valide les critères.</t>
  </si>
  <si>
    <t>La mesure terrain repose sur des éléments concrets : pesée des restes, retour assiette, avis des convives, satisfaction, pertes et observation du service. Ces données permettent de corriger la recette au lieu de rester sur une impression.</t>
  </si>
  <si>
    <t>TEST_MESURE ; SATISFACTION_ACCEPTABILITE ; GASPILLAGE_RESTES ; RECETTE_FAMILIERE ; COLLECTIF</t>
  </si>
  <si>
    <t>La mesure terrain permet de savoir si le plat fonctionne vraiment. Je fais un test, je mesure avec un indicateur, je pèse les restes, je regarde les avis, la satisfaction, le gaspillage et le retour assiette.</t>
  </si>
  <si>
    <t>Non-goûts</t>
  </si>
  <si>
    <t>Expliquez comment intégrer les non-goûts récurrents des convives dans l’amélioration d’un plat végétal.</t>
  </si>
  <si>
    <t>Il faut distinguer les non-goûts réels, les habitudes, les préférences et les refus liés à une mauvaise présentation. Les avis des convives, le retour assiette et l’observation au self permettent de comprendre ce qu’il faut améliorer.</t>
  </si>
  <si>
    <t>Les non-goûts doivent être pris en compte. Un convive peut refuser par habitude, préférence ou manque d’envie. Il faut écouter les avis, regarder le retour assiette et améliorer le goût, la sauce ou la présentation.</t>
  </si>
  <si>
    <t>Comment distinguer allergène, intolérance, non-goût et refus d’un plat végétal ?</t>
  </si>
  <si>
    <t>Réponse solide attendue : Non-goûts / refus ; Information réglementaire / affichage ; Satisfaction / acceptabilité ; Argumentation / justification ; Contexte restauration collective. La réponse doit rester concrète, compréhensible terrain et contenir assez de déclencheurs pour que le moteur valide les critères.</t>
  </si>
  <si>
    <t xml:space="preserve"> Non-goûts : Il faut distinguer refus, non gout, habitude, preference et public concerné. L'etiquette, l'affichage lisible, l'information allergene et le signalement doivent être visibles avant service. Il faut mesurer la satisfaction, l'acceptabilite, les avis et le retour des convives. parce que la réponse doit expliquer la cause, la conséquence et l'amélioration possible. En collectivite, il faut penser au self, au service, aux convives et à la grande quantite.</t>
  </si>
  <si>
    <t>NON_GOUTS ; REGLEMENTAIRE_INFO ; SATISFACTION_ACCEPTABILITE ; ARGUMENTATION ; COLLECTIF</t>
  </si>
  <si>
    <t>Quand certains convives n’aiment pas, il faut comprendre pourquoi : refus, non-goût, habitude ou préférence. Je regarde aussi l’affichage, les allergènes, les avis, la satisfaction et le retour assiette pour améliorer le plat.</t>
  </si>
  <si>
    <t>Nutrition</t>
  </si>
  <si>
    <t>Contrôlez l’équilibre nutritionnel d’un plat végétal associant légumineuse, céréale, légumes et sauce.</t>
  </si>
  <si>
    <t>Réponse solide attendue : Sauce / moelleux ; Lecture nutritionnelle ; Plat complet / composition ; Sources de protéines végétales ; Contrôle qualité avant service. La réponse doit rester concrète, reliée à la restauration collective et justifiée par au moins un exemple.</t>
  </si>
  <si>
    <t>La lecture nutritionnelle doit prendre en compte les protéines, fibres, fer, équilibre et satiété. Les légumineuses apportent une base intéressante, mais le plat doit aussi être bon, complet, bien assaisonné et réellement consommé par les convives.</t>
  </si>
  <si>
    <t>SAUCE_MOELLEUX ; NUTRITION ; PLAT_COMPLET ; SOURCE_PROTEINES ; QUALITE</t>
  </si>
  <si>
    <t>Pour parler nutrition, je cite les protéines, fibres, fer, équilibre et satiété. Les lentilles, pois chiches, haricots ou pois cassés sont utiles, mais il faut aussi penser à la sauce, à la texture et au contrôle qualité avant service.</t>
  </si>
  <si>
    <t>Plan alimentaire</t>
  </si>
  <si>
    <t>Évaluez comment intégrer les légumineuses dans un plan alimentaire sans créer de répétition excessive.</t>
  </si>
  <si>
    <t>Le plan alimentaire doit intégrer les plats végétaux de façon équilibrée et progressive. Il faut varier légumineuses, céréales, légumes et sauces, tout en respectant les contraintes de production, les allergènes, le coût et l’acceptabilité du public.</t>
  </si>
  <si>
    <t>Dans un plan alimentaire, je varie les plats végétaux sur le cycle de menu. J’associe légumineuse, céréale, légume et sauce, en pensant à l’équilibre, aux convives, aux quantités, au service et à l’acceptabilité.</t>
  </si>
  <si>
    <t>Évaluez si une assiette végétale peut être considérée comme complète selon composition, portion et équilibre.</t>
  </si>
  <si>
    <t>Réponse solide attendue : Coût / prix / budget ; Lecture nutritionnelle ; Plat complet / composition ; Sources de protéines végétales ; Argumentation / justification. La réponse doit rester concrète, reliée à la restauration collective et justifiée par au moins un exemple.</t>
  </si>
  <si>
    <t>COUT ; NUTRITION ; PLAT_COMPLET ; SOURCE_PROTEINES ; ARGUMENTATION</t>
  </si>
  <si>
    <t>Un plat complet ne se limite pas à une protéine végétale. Il faut aussi penser nutrition, coût, fibres, fer, équilibre, satiété, sauce, céréale, légume et acceptabilité. Le plat doit être équilibré et mangé par les convives.</t>
  </si>
  <si>
    <t>Analysez l’impact d’une recette végétale longue à préparer sur l’organisation d’une cuisine collective.</t>
  </si>
  <si>
    <t>Réponse solide attendue : Organisation / production ; Sources de protéines végétales ; Contexte restauration collective ; Argumentation / justification ; Plat complet / composition. La réponse doit rester concrète, reliée à la restauration collective et justifiée par au moins un exemple.</t>
  </si>
  <si>
    <t>ORGANISATION_PROD ; SOURCE_PROTEINES ; COLLECTIF ; ARGUMENTATION ; PLAT_COMPLET</t>
  </si>
  <si>
    <t>En production, je dois organiser le poste, le matériel, la fiche technique, le temps, la cuisson et le service. Pour les grandes quantités, je pense aussi aux convives, au self, à la sauce et à la texture.</t>
  </si>
  <si>
    <t>Construisez une réponse sur l’organisation de production d’un plat végétal en grande quantité.</t>
  </si>
  <si>
    <t>Réponse solide attendue : Organisation / production ; Contexte restauration collective ; Contrôle qualité avant service ; Cuisson / tenue au chaud ; Hygiène / HACCP / sécurité sanitaire. La réponse doit rester concrète, compréhensible terrain et contenir assez de déclencheurs pour que le moteur valide les critères.</t>
  </si>
  <si>
    <t xml:space="preserve"> Production : La production demande organisation, materiel, fiche technique, temps et poste clair. En collectivite, il faut penser au self, au service, aux convives et à la grande quantite. Avant service, je ferais un controle qualite avec grille, vérifier texture, sauce et temperature. Il faut contrôler cuisson, maintien au chaud, tenue au chaud et rechauffage après 45 minutes. La partie hygiene HACCP impose temperature, refroidissement, tracabilite et contrôle sanitaire.</t>
  </si>
  <si>
    <t>ORGANISATION_PROD ; COLLECTIF ; QUALITE ; CUISSON_TENUE ; HYGIENE_HACCP</t>
  </si>
  <si>
    <t>En production, je vérifie l’organisation, le matériel, la fiche technique, le temps, la cuisson, le maintien au chaud, le réchauffage, l’hygiène, l’HACCP, la température et la traçabilité. Le plat doit rester bon jusqu’au service.</t>
  </si>
  <si>
    <t>Déterminez les critères permettant d’affirmer qu’un plat végétal constitue une vraie source protéique.</t>
  </si>
  <si>
    <t>Une protéine végétale peut être apportée par les lentilles, pois chiches, haricots, pois cassés, tofu ou soja. Je dois expliquer comment les utiliser dans un plat complet, avec céréale, légume, sauce, goût et équilibre.</t>
  </si>
  <si>
    <t>Protéines et nutrition</t>
  </si>
  <si>
    <t>Expliquez comment sécuriser l’apport en protéines, fibres et fer dans un menu végétal.</t>
  </si>
  <si>
    <t>Réponse solide attendue : Lecture nutritionnelle ; Sources de protéines végétales ; Plat complet / composition ; Exemples cités ; Argumentation / justification. La réponse doit rester concrète, compréhensible terrain et contenir assez de déclencheurs pour que le moteur valide les critères.</t>
  </si>
  <si>
    <t>Les protéines végétales comme lentilles, pois chiches, haricots, pois cassés, tofu ou soja peuvent entrer dans un plat équilibré. Il faut aussi parler fibres, fer, satiété, céréale, légume, sauce et acceptabilité au service.</t>
  </si>
  <si>
    <t>NUTRITION ; SOURCE_PROTEINES ; PLAT_COMPLET ; EXEMPLES ; ARGUMENTATION</t>
  </si>
  <si>
    <t>Réponse jeune CFA sur protéines et nutrition : Je parle nutrition : proteine, fibres, fer, equilibre et satiete. Je cite une proteine vegetale comme lentille, pois chiche, haricot ou pois casse. Je fais un plat complet avec legumineuse, cereale, legume et sauce. Par exemple : lentille, pois chiche, haricot, tofu ou soja. Je dis pourquoi, parce que sinon on fait juste une liste.</t>
  </si>
  <si>
    <t>PST</t>
  </si>
  <si>
    <t>Comparez les protéines de soja texturées avec les lentilles dans une sauce type bolognaise collective.</t>
  </si>
  <si>
    <t>Réponse solide attendue : Allergène soja ; Texture / mâche ; Sauce / moelleux ; Sources de protéines végétales ; Contexte restauration collective. La réponse doit rester concrète, reliée à la restauration collective et justifiée par au moins un exemple.</t>
  </si>
  <si>
    <t>Les PST, ou protéines de soja texturées, doivent être réhydratées, assaisonnées et servies avec une sauce. Elles contiennent du soja, donc l’allergène doit être affiché. Elles fonctionnent bien dans des recettes en sauce comme chili ou bolognaise végétale.</t>
  </si>
  <si>
    <t>ALLERGENE_SOJA ; TEXTURE_MACHE ; SAUCE_MOELLEUX ; SOURCE_PROTEINES ; COLLECTIF</t>
  </si>
  <si>
    <t>Les PST sont des protéines de soja texturées, donc l’allergène soja doit être affiché. Il faut les réhydrater, les assaisonner et les servir avec assez de sauce pour éviter une texture sèche ou farineuse.</t>
  </si>
  <si>
    <t>Qualité</t>
  </si>
  <si>
    <t>Construisez une fiche de contrôle qualité avant service pour un plat végétal collectif.</t>
  </si>
  <si>
    <t>Réponse solide attendue : Service / présentation / nom du plat ; Sources de protéines végétales ; Contrôle qualité avant service ; Argumentation / justification ; Plat complet / composition. La réponse doit rester concrète, reliée à la restauration collective et justifiée par au moins un exemple.</t>
  </si>
  <si>
    <t>La qualité avant service se vérifie avec une grille simple : goût, texture, sauce, température, présentation, allergènes et portion. Pour un plat végétal, ce contrôle est indispensable afin d’éviter les recettes sèches, fades ou mal acceptées.</t>
  </si>
  <si>
    <t>SERVICE_PRESENTATION ; SOURCE_PROTEINES ; QUALITE ; ARGUMENTATION ; PLAT_COMPLET</t>
  </si>
  <si>
    <t>La qualité se vérifie avant service. Je contrôle la texture, la sauce, la température, la présentation et le goût. Un plat végétal avec lentilles, pois chiches ou haricots doit être complet, mais aussi agréable et bien servi.</t>
  </si>
  <si>
    <t>Qualité avant service</t>
  </si>
  <si>
    <t>Rédigez une grille de contrôle avant service pour un dhal de pois cassés.</t>
  </si>
  <si>
    <t>Réponse solide attendue : Contrôle qualité avant service ; Goût / assaisonnement ; Texture / mâche ; Sauce / moelleux ; Cuisson / tenue au chaud. La réponse doit rester concrète, compréhensible terrain et contenir assez de déclencheurs pour que le moteur valide les critères.</t>
  </si>
  <si>
    <t>Avant service, il faut contrôler la température, la texture, la sauce, le goût, la présentation et les allergènes. Ce contrôle qualité évite de servir un plat végétal sec, froid, fade ou mal identifié.</t>
  </si>
  <si>
    <t>QUALITE ; GOUT_ASSAISONNEMENT ; TEXTURE_MACHE ; SAUCE_MOELLEUX ; CUISSON_TENUE</t>
  </si>
  <si>
    <t>Avant service, je fais un contrôle qualité. Je vérifie le goût, l’assaisonnement, la texture, la sauce, le moelleux, la température, la cuisson et le maintien au chaud. Le plat doit être prêt à être servi correctement.</t>
  </si>
  <si>
    <t>Quinoa</t>
  </si>
  <si>
    <t>Évaluez l’usage du quinoa comme complément végétal en tenant compte du coût, de l’image et de l’acceptabilité.</t>
  </si>
  <si>
    <t>Réponse solide attendue : Coût / prix / budget ; Satisfaction / acceptabilité ; Communication positive ; Service / présentation / nom du plat ; Sources de protéines végétales. La réponse doit rester concrète, reliée à la restauration collective et justifiée par au moins un exemple.</t>
  </si>
  <si>
    <t>Le quinoa peut compléter une offre végétale, mais il faut surveiller son coût, son acceptabilité et son usage en grande quantité. Il peut accompagner des légumineuses, des légumes et une sauce, mais il ne doit pas remplacer toute réflexion sur le goût et la production.</t>
  </si>
  <si>
    <t>COUT ; SATISFACTION_ACCEPTABILITE ; COMMUNICATION_POSITIVE ; SERVICE_PRESENTATION ; SOURCE_PROTEINES</t>
  </si>
  <si>
    <t>Le quinoa peut entrer dans un plat végétal, mais il faut surveiller le coût, l’acceptabilité et la présentation. Il peut accompagner des lentilles, pois chiches ou haricots avec des légumes et une sauce pour faire un plat plus complet.</t>
  </si>
  <si>
    <t>Analysez l’intérêt de transformer un plat connu en version végétale pour améliorer l’acceptabilité.</t>
  </si>
  <si>
    <t>Réponse solide attendue : Satisfaction / acceptabilité ; Sources de protéines végétales ; Recette connue / adaptation ; Argumentation / justification ; Plat complet / composition. La réponse doit rester concrète, reliée à la restauration collective et justifiée par au moins un exemple.</t>
  </si>
  <si>
    <t xml:space="preserve"> Recette connue : Il faut mesurer la satisfaction, l'acceptabilite, les avis et le retour des convives. La source de proteine vegetale peut être lentille, pois chiche, haricot ou pois casse. On sécurise avec une recette connue : chili, dhal, bolognaise, curry ou sauce tomate. parce que la réponse doit expliquer la cause, la conséquence et l'amélioration possible. Je construirais un plat complet avec legumineuse, cereale, legume et sauce.</t>
  </si>
  <si>
    <t>SATISFACTION_ACCEPTABILITE ; SOURCE_PROTEINES ; RECETTE_FAMILIERE ; ARGUMENTATION ; PLAT_COMPLET</t>
  </si>
  <si>
    <t>Une recette connue facilite l’acceptation. Les convives acceptent plus facilement un chili, un dhal, une bolognaise végétale ou un curry. On peut y mettre lentilles, pois chiches ou haricots avec une sauce et un bon assaisonnement.</t>
  </si>
  <si>
    <t>Réglementaire</t>
  </si>
  <si>
    <t>Expliquez les informations réglementaires à afficher pour un plat contenant soja et gluten.</t>
  </si>
  <si>
    <t>Réponse solide attendue : Information réglementaire / affichage ; Allergène soja ; Allergène gluten / seitan ; Contrôle qualité avant service ; Service / présentation / nom du plat. La réponse doit rester concrète, compréhensible terrain et contenir assez de déclencheurs pour que le moteur valide les critères.</t>
  </si>
  <si>
    <t>La partie réglementaire impose une information claire sur les allergènes, une traçabilité correcte et un affichage lisible. Si la recette contient soja, gluten, blé, seitan ou lupin, le signalement doit être fait avant service.</t>
  </si>
  <si>
    <t>REGLEMENTAIRE_INFO ; ALLERGENE_SOJA ; ALLERGENE_GLUTEN_SEITAN ; QUALITE ; SERVICE_PRESENTATION</t>
  </si>
  <si>
    <t>Pour la partie réglementaire, il faut une étiquette, un affichage lisible et une information allergène avant service. Si le plat contient soja, tofu, protéines de soja, gluten, blé ou seitan, les convives doivent être prévenus.</t>
  </si>
  <si>
    <t>Rendement</t>
  </si>
  <si>
    <t>Expliquez comment le rendement cuisson influence le coût portion d’une légumineuse.</t>
  </si>
  <si>
    <t>Réponse solide attendue : Coût / prix / budget ; Cuisson / tenue au chaud ; Plat complet / composition ; Argumentation / justification ; Sources de protéines végétales. La réponse doit rester concrète, reliée à la restauration collective et justifiée par au moins un exemple.</t>
  </si>
  <si>
    <t>Le rendement dépend de la cuisson, du grammage, des pertes et de la portion servie. Les légumineuses peuvent gonfler ou se déliter selon la cuisson. Il faut contrôler le rendement réel pour calculer correctement le coût portion.</t>
  </si>
  <si>
    <t>COUT ; CUISSON_TENUE ; PLAT_COMPLET ; ARGUMENTATION ; SOURCE_PROTEINES</t>
  </si>
  <si>
    <t>Le rendement dépend de la cuisson, de la portion, du coût et des pertes. Les légumineuses peuvent gonfler, se déliter ou sécher. Je vérifie la cuisson, le maintien au chaud, la sauce et la quantité réellement servie.</t>
  </si>
  <si>
    <t>Restauration scolaire</t>
  </si>
  <si>
    <t>Construisez une stratégie d’introduction d’un plat végétal auprès d’élèves peu habitués aux légumineuses.</t>
  </si>
  <si>
    <t>En restauration scolaire, un plat végétal doit être simple, lisible et accepté par les élèves. Les légumineuses doivent être bien cuisinées, avec céréale, légume, sauce et assaisonnement. Les retours assiette et les avis permettent d’améliorer la recette.</t>
  </si>
  <si>
    <t>En restauration scolaire, le plat végétal doit être simple, bon et compréhensible. Les lentilles, pois chiches, haricots ou pois cassés doivent être servis avec une céréale, un légume, une sauce et une présentation qui donne envie aux élèves.</t>
  </si>
  <si>
    <t>Retours terrain</t>
  </si>
  <si>
    <t>Exploitez des retours convives indiquant plat sec, sauce insuffisante, goût faible et portions trop grandes.</t>
  </si>
  <si>
    <t>Réponse solide attendue : Coût / prix / budget ; Satisfaction / acceptabilité ; Texture / mâche ; Sauce / moelleux ; Goût / assaisonnement. La réponse doit rester concrète, reliée à la restauration collective et justifiée par au moins un exemple.</t>
  </si>
  <si>
    <t>Les retours terrain permettent de savoir si la recette fonctionne vraiment. Il faut analyser satisfaction, restes, coût, texture, sauce, goût et présentation. Une recette équilibrée sur le papier doit être retravaillée si les convives ne la consomment pas.</t>
  </si>
  <si>
    <t>COUT ; SATISFACTION_ACCEPTABILITE ; TEXTURE_MACHE ; SAUCE_MOELLEUX ; GOUT_ASSAISONNEMENT</t>
  </si>
  <si>
    <t>Les retours terrain servent à corriger la recette. Je regarde le coût, la satisfaction, la texture, la sauce, le goût, les restes et les avis des convives. Cela permet de savoir si le plat doit être gardé ou retravaillé.</t>
  </si>
  <si>
    <t>Sarrasin</t>
  </si>
  <si>
    <t>Analysez la pertinence du sarrasin dans une offre végétale sans gluten.</t>
  </si>
  <si>
    <t>Réponse solide attendue : Allergène gluten / seitan ; Sources de protéines végétales ; Argumentation / justification ; Plat complet / composition ; Contexte restauration collective. La réponse doit rester concrète, reliée à la restauration collective et justifiée par au moins un exemple.</t>
  </si>
  <si>
    <t>Le sarrasin ne contient pas naturellement de gluten, mais il faut vérifier les contaminations possibles et les préparations utilisées. Il peut servir de céréale d’accompagnement avec des légumineuses, des légumes et une sauce dans un plat végétal complet.</t>
  </si>
  <si>
    <t>ALLERGENE_GLUTEN_SEITAN ; SOURCE_PROTEINES ; ARGUMENTATION ; PLAT_COMPLET ; COLLECTIF</t>
  </si>
  <si>
    <t>Le sarrasin peut servir de base dans un plat végétal, mais il faut vérifier les produits utilisés et les risques de contamination. Je peux l’associer avec lentilles, pois chiches ou haricots, un légume et une sauce pour obtenir un plat complet.</t>
  </si>
  <si>
    <t>Proposez un protocole simple pour mesurer satisfaction convives, taux de retour assiette et commentaires qualitatifs.</t>
  </si>
  <si>
    <t>Réponse solide attendue : Gaspillage / retours assiette ; Satisfaction / acceptabilité ; Test / mesure / indicateurs ; Plat complet / composition ; Contexte restauration collective. La réponse doit rester concrète, reliée à la restauration collective et justifiée par au moins un exemple.</t>
  </si>
  <si>
    <t>GASPILLAGE_RESTES ; SATISFACTION_ACCEPTABILITE ; TEST_MESURE ; PLAT_COMPLET ; COLLECTIF</t>
  </si>
  <si>
    <t>La satisfaction se mesure avec les avis, les restes, le retour assiette et les tests. Un plat végétal doit être complet, avec légumineuse, céréale, légume et sauce, mais il doit surtout être accepté et consommé.</t>
  </si>
  <si>
    <t>Construisez une grille d’évaluation de la sauce dans un plat végétal : quantité, liaison, goût et tenue.</t>
  </si>
  <si>
    <t>Réponse solide attendue : Texture / mâche ; Sauce / moelleux ; Goût / assaisonnement ; Test / mesure / indicateurs ; Sources de protéines végétales. La réponse doit rester concrète, reliée à la restauration collective et justifiée par au moins un exemple.</t>
  </si>
  <si>
    <t>TEXTURE_MACHE ; SAUCE_MOELLEUX ; GOUT_ASSAISONNEMENT ; TEST_MESURE ; SOURCE_PROTEINES</t>
  </si>
  <si>
    <t>La sauce permet de garder le moelleux, l’humidité et le goût. Avec un plat végétal, elle évite une texture sèche ou farineuse. Je peux aussi tester la satisfaction, peser les restes et corriger la recette si besoin.</t>
  </si>
  <si>
    <t>Sécurité sanitaire</t>
  </si>
  <si>
    <t>Identifiez les points de vigilance sanitaire dans la préparation d’un plat végétal en grande quantité.</t>
  </si>
  <si>
    <t>Réponse solide attendue : Texture / mâche ; Hygiène / HACCP / sécurité sanitaire ; Sources de protéines végétales ; Contexte restauration collective ; Argumentation / justification. La réponse doit rester concrète, reliée à la restauration collective et justifiée par au moins un exemple.</t>
  </si>
  <si>
    <t>La sécurité sanitaire impose le respect des températures, de la traçabilité, du refroidissement, du maintien au chaud et du réchauffage. Même pour un plat végétal, le contrôle HACCP reste obligatoire avant et pendant le service.</t>
  </si>
  <si>
    <t>TEXTURE_MACHE ; HYGIENE_HACCP ; SOURCE_PROTEINES ; COLLECTIF ; ARGUMENTATION</t>
  </si>
  <si>
    <t>La sécurité sanitaire reste obligatoire, même pour un plat végétal. Je respecte l’hygiène, l’HACCP, les températures, le refroidissement, la traçabilité et le maintien au chaud pour servir un plat sûr aux convives.</t>
  </si>
  <si>
    <t>Seitan</t>
  </si>
  <si>
    <t>Analysez les avantages et les limites du seitan en restauration collective avec un contrôle strict du gluten.</t>
  </si>
  <si>
    <t>Réponse solide attendue : Allergène gluten / seitan ; Sources de protéines végétales ; Contexte restauration collective ; Contrôle qualité avant service ; Argumentation / justification. La réponse doit rester concrète, reliée à la restauration collective et justifiée par au moins un exemple.</t>
  </si>
  <si>
    <t>Le seitan est une protéine végétale à base de gluten. Il doit donc être clairement signalé comme contenant du gluten ou du blé selon la recette. Une alternative sans gluten peut être prévue pour sécuriser les convives concernés.</t>
  </si>
  <si>
    <t>ALLERGENE_GLUTEN_SEITAN ; SOURCE_PROTEINES ; COLLECTIF ; QUALITE ; ARGUMENTATION</t>
  </si>
  <si>
    <t>Le seitan contient du gluten, souvent lié au blé, donc il faut prévenir les convives et prévoir une alternative si possible. Avant service, je vérifie l’affichage, la qualité du plat, la température et la sécurité allergène.</t>
  </si>
  <si>
    <t>Analysez les observations à mener au self pour mesurer l’acceptation réelle d’un plat végétal.</t>
  </si>
  <si>
    <t>Réponse solide attendue : Test / mesure / indicateurs ; Service / présentation / nom du plat ; Sources de protéines végétales ; Contexte restauration collective ; Argumentation / justification. La réponse doit rester concrète, reliée à la restauration collective et justifiée par au moins un exemple.</t>
  </si>
  <si>
    <t>TEST_MESURE ; SERVICE_PRESENTATION ; SOURCE_PROTEINES ; COLLECTIF ; ARGUMENTATION</t>
  </si>
  <si>
    <t>Au self, je regarde si le plat donne envie et si les convives le prennent. La présentation, le dressage, le nom du plat, la sauce et le retour assiette permettent de savoir si la recette fonctionne vraiment.</t>
  </si>
  <si>
    <t>Soja</t>
  </si>
  <si>
    <t>Évaluez l’intérêt et les contraintes du soja dans une offre collective : coût, allergène, texture, goût et image convive.</t>
  </si>
  <si>
    <t>Réponse solide attendue : Allergène soja ; Coût / prix / budget ; Satisfaction / acceptabilité ; Communication positive ; Texture / mâche. La réponse doit rester concrète, reliée à la restauration collective et justifiée par au moins un exemple.</t>
  </si>
  <si>
    <t>Le soja est une protéine végétale intéressante, mais c’est aussi un allergène. Tofu, tempeh, protéines de soja et PST doivent être signalés. Il faut aussi travailler le goût, la sauce, la texture et l’acceptabilité avant une mise en production large.</t>
  </si>
  <si>
    <t>ALLERGENE_SOJA ; COUT ; SATISFACTION_ACCEPTABILITE ; COMMUNICATION_POSITIVE ; TEXTURE_MACHE</t>
  </si>
  <si>
    <t>Le soja peut être utilisé comme protéine végétale, mais il faut afficher l’allergène soja. Pour que le plat soit accepté, je regarde aussi le coût, la satisfaction, la communication, la texture, le goût et les retours des convives.</t>
  </si>
  <si>
    <t>Stockage</t>
  </si>
  <si>
    <t>Analysez les contraintes de stockage des légumineuses sèches, appertisées ou surgelées.</t>
  </si>
  <si>
    <t>Réponse solide attendue : Texture / mâche ; Approvisionnement / achats ; Plat complet / composition ; Argumentation / justification ; Sources de protéines végétales. La réponse doit rester concrète, reliée à la restauration collective et justifiée par au moins un exemple.</t>
  </si>
  <si>
    <t>Le stockage doit tenir compte de la disponibilité, du fournisseur, de l’origine, de la durée de conservation et des conditions sanitaires. Les légumineuses sèches sont pratiques, mais les produits transformés comme tofu ou tempeh demandent plus de vigilance.</t>
  </si>
  <si>
    <t>TEXTURE_MACHE ; APPRO_ACHATS ; PLAT_COMPLET ; ARGUMENTATION ; SOURCE_PROTEINES</t>
  </si>
  <si>
    <t>Le stockage est important pour garder une bonne qualité. Je regarde l’approvisionnement, l’achat, l’origine locale, la disponibilité et les conditions de conservation. Les légumineuses et protéines végétales doivent être adaptées à la production.</t>
  </si>
  <si>
    <t>Stratégie menu</t>
  </si>
  <si>
    <t>Analysez les conditions nécessaires pour introduire progressivement des protéines végétales dans un cycle de menus collectif.</t>
  </si>
  <si>
    <t>La stratégie menu consiste à intégrer progressivement les protéines végétales dans des recettes acceptables. Il faut varier les légumineuses, éviter la répétition, équilibrer les plats, surveiller le coût et mesurer les retours des convives.</t>
  </si>
  <si>
    <t>La stratégie menu consiste à intégrer les protéines végétales progressivement. Je varie les lentilles, pois chiches, haricots ou pois cassés, je construis des plats complets et je pense aux convives, au self et aux grandes quantités.</t>
  </si>
  <si>
    <t>Synthèse complète</t>
  </si>
  <si>
    <t>Rédigez une réponse complète sur coût, production, allergènes, satisfaction et décision finale.</t>
  </si>
  <si>
    <t>Réponse solide attendue : Coût / prix / budget ; Organisation / production ; Information réglementaire / affichage ; Satisfaction / acceptabilité ; Décision / arbitrage. La réponse doit rester concrète, compréhensible terrain et contenir assez de déclencheurs pour que le moteur valide les critères.</t>
  </si>
  <si>
    <t>Une bonne synthèse doit relier production, coût, nutrition, allergènes, satisfaction et amélioration continue. Le plat végétal doit être équilibré, bon, sûr, maîtrisé en grande quantité, bien présenté et réellement consommé par les convives.</t>
  </si>
  <si>
    <t>COUT ; ORGANISATION_PROD ; REGLEMENTAIRE_INFO ; SATISFACTION_ACCEPTABILITE ; DECISION_ARBITRAGE</t>
  </si>
  <si>
    <t>Réponse jeune CFA sur synthèse complète : Je regarde le cout, le prix de la portion, la matiere, l'achat et le budget. En production, il faut de l'organisation, le materiel, la fiche technique et le temps. Il faut une etiquette, un affichage lisible et l'information allergene avant service. Je demande l'avis des convives pour voir la satisfaction et l'acceptabilite. Je prends une decision : maintenir, retravailler ou faire un plan d action.</t>
  </si>
  <si>
    <t>Analysez les freins possibles à l’introduction du tempeh dans un restaurant collectif.</t>
  </si>
  <si>
    <t>Le tempeh contient du soja, donc l’allergène soja doit être signalé. Il peut entrer dans un plat végétal complet, mais il faut expliquer son intérêt, vérifier le goût, la texture et l’acceptabilité au self ou au service.</t>
  </si>
  <si>
    <t>Évaluez les risques de dessèchement, perte de texture et baisse d’appétence après maintien au chaud.</t>
  </si>
  <si>
    <t>Réponse solide attendue : Gaspillage / retours assiette ; Texture / mâche ; Cuisson / tenue au chaud ; Argumentation / justification ; Sources de protéines végétales. La réponse doit rester concrète, reliée à la restauration collective et justifiée par au moins un exemple.</t>
  </si>
  <si>
    <t xml:space="preserve"> Tenue au chaud : Je suivrais le gaspillage, les reste, le retour assiette et les pertes. La texture et la mache doivent rester moelleuses, pas farineuses ni seches. Il faut contrôler cuisson, maintien au chaud, tenue au chaud et rechauffage après 45 minutes. parce que la réponse doit expliquer la cause, la conséquence et l'amélioration possible. La source de proteine vegetale peut être lentille, pois chiche, haricot ou pois casse.</t>
  </si>
  <si>
    <t>GASPILLAGE_RESTES ; TEXTURE_MACHE ; CUISSON_TENUE ; ARGUMENTATION ; SOURCE_PROTEINES</t>
  </si>
  <si>
    <t>La tenue au chaud peut modifier la texture d’un plat végétal. Je vérifie la cuisson, la sauce, le moelleux, les restes et le retour assiette. Si le plat sèche après 45 minutes, il faut corriger la recette ou le service.</t>
  </si>
  <si>
    <t>Auditez la texture d’un plat végétal après cuisson, maintien au chaud et service différé.</t>
  </si>
  <si>
    <t>Réponse solide attendue : Texture / mâche ; Cuisson / tenue au chaud ; Service / présentation / nom du plat ; Lecture nutritionnelle ; Sources de protéines végétales. La réponse doit rester concrète, reliée à la restauration collective et justifiée par au moins un exemple.</t>
  </si>
  <si>
    <t>TEXTURE_MACHE ; CUISSON_TENUE ; SERVICE_PRESENTATION ; NUTRITION ; SOURCE_PROTEINES</t>
  </si>
  <si>
    <t>Pour la texture, je vérifie que le plat reste moelleux, pas sec ni farineux. La cuisson, le maintien au chaud, le réchauffage, la sauce et la présentation sont importants pour que les convives acceptent le plat.</t>
  </si>
  <si>
    <t>Texture modifiée</t>
  </si>
  <si>
    <t>Construisez une réponse pour une recette végétale mixée ou manger-main en EHPAD.</t>
  </si>
  <si>
    <t>Réponse solide attendue : Adaptation EHPAD / textures ; Lecture nutritionnelle ; Sauce / moelleux ; Texture / mâche ; Hygiène / HACCP / sécurité sanitaire. La réponse doit rester concrète, compréhensible terrain et contenir assez de déclencheurs pour que le moteur valide les critères.</t>
  </si>
  <si>
    <t xml:space="preserve"> Texture modifiée : En EHPAD ou pour personne agee, je prévoirais texture modifiee, mixee, onctueuse ou manger main. La lecture nutrition porte sur proteine, fibres, fer, equilibre et satiete. Une sauce nappante apporte humidite, liaison et moelleux pendant le service. La texture et la mache doivent rester moelleuses, pas farineuses ni seches. La partie hygiene HACCP impose temperature, refroidissement, tracabilite et contrôle sanitaire.</t>
  </si>
  <si>
    <t>EHPAD_TEXTURE ; NUTRITION ; SAUCE_MOELLEUX ; TEXTURE_MACHE ; HYGIENE_HACCP</t>
  </si>
  <si>
    <t>Une texture modifiée doit rester agréable, sûre et adaptée. En EHPAD, on peut prévoir du mixé, de l’onctueux ou du manger-main. Il faut garder du moelleux, une sauce suffisante, l’équilibre nutritionnel et les règles HACCP.</t>
  </si>
  <si>
    <t>Textures modifiées</t>
  </si>
  <si>
    <t>Analysez les limites d’une légumineuse mixée en texture modifiée et proposez des corrections culinaires.</t>
  </si>
  <si>
    <t>Réponse solide attendue : Texture / mâche ; Adaptation EHPAD / textures ; Plat complet / composition ; Argumentation / justification ; Sources de protéines végétales. La réponse doit rester concrète, reliée à la restauration collective et justifiée par au moins un exemple.</t>
  </si>
  <si>
    <t>Pour les textures modifiées, le plat végétal doit rester onctueux, goûteux et sécurisé. En EHPAD ou pour personnes âgées, on peut adapter en mixé, haché, texture modifiée ou manger-main. La sauce, la température et l’équilibre nutritionnel sont essentiels.</t>
  </si>
  <si>
    <t>TEXTURE_MACHE ; EHPAD_TEXTURE ; PLAT_COMPLET ; ARGUMENTATION ; SOURCE_PROTEINES</t>
  </si>
  <si>
    <t>Pour les textures modifiées, il faut garder un plat facile à manger, moelleux et sécurisé. En EHPAD, on peut adapter en mixé, onctueux ou manger-main. La sauce, la protéine végétale et l’équilibre du plat restent importants.</t>
  </si>
  <si>
    <t>Proposez un plan d’amélioration pour rendre une recette au tofu plus acceptable auprès d’un public non habitué.</t>
  </si>
  <si>
    <t>Le tofu contient du soja, donc l’allergène soja doit être affiché. Pour qu’il soit mieux accepté, je l’intègre dans un plat complet avec légumineuse, céréale, légume et sauce, en pensant au goût et aux convives.</t>
  </si>
  <si>
    <t>Critère 1</t>
  </si>
  <si>
    <t>Critère 2</t>
  </si>
  <si>
    <t>Critère 3</t>
  </si>
  <si>
    <t>Critère 4</t>
  </si>
  <si>
    <t>Critère 5</t>
  </si>
  <si>
    <t>Mot 1</t>
  </si>
  <si>
    <t>Mot 2</t>
  </si>
  <si>
    <t>Mot 3</t>
  </si>
  <si>
    <t>Mot 4</t>
  </si>
  <si>
    <t>Mot 5</t>
  </si>
  <si>
    <t>Mot 6</t>
  </si>
  <si>
    <t>Mot 7</t>
  </si>
  <si>
    <t>Mot 8</t>
  </si>
  <si>
    <t>Mot 9</t>
  </si>
  <si>
    <t>Mot 10</t>
  </si>
  <si>
    <t>Mot 11</t>
  </si>
  <si>
    <t>Mot 12</t>
  </si>
  <si>
    <t>Mot 13 CFA</t>
  </si>
  <si>
    <t>Mot 14 CFA</t>
  </si>
  <si>
    <t>Mot 15 CFA</t>
  </si>
  <si>
    <t>Mot 16 CFA</t>
  </si>
  <si>
    <t>Mot 17 CFA</t>
  </si>
  <si>
    <t>Mot 18 CFA</t>
  </si>
  <si>
    <t>ARGUMENTATION</t>
  </si>
  <si>
    <t>Argumentation / justification</t>
  </si>
  <si>
    <t>La réponse explique, justifie ou donne une cause/conséquence, pas seulement une liste.</t>
  </si>
  <si>
    <t>Faire préciser pourquoi, comment, dans quel contexte et avec un exemple terrain.</t>
  </si>
  <si>
    <t>parce que</t>
  </si>
  <si>
    <t>car</t>
  </si>
  <si>
    <t>donc</t>
  </si>
  <si>
    <t>afin</t>
  </si>
  <si>
    <t>permet</t>
  </si>
  <si>
    <t>evite</t>
  </si>
  <si>
    <t>exemple</t>
  </si>
  <si>
    <t>si</t>
  </si>
  <si>
    <t>quand</t>
  </si>
  <si>
    <t>consequence</t>
  </si>
  <si>
    <t>ameliore</t>
  </si>
  <si>
    <t>controle</t>
  </si>
  <si>
    <t>pourquoi</t>
  </si>
  <si>
    <t>comment</t>
  </si>
  <si>
    <t>cause</t>
  </si>
  <si>
    <t>ca aide</t>
  </si>
  <si>
    <t>ca ameliore</t>
  </si>
  <si>
    <t>EXEMPLES</t>
  </si>
  <si>
    <t>Exemples cités</t>
  </si>
  <si>
    <t>La réponse cite des exemples concrets et exploitables.</t>
  </si>
  <si>
    <t>Demander au moins deux ou trois exemples précis, pas une idée générale.</t>
  </si>
  <si>
    <t>lentille</t>
  </si>
  <si>
    <t>pois chiche</t>
  </si>
  <si>
    <t>haricot</t>
  </si>
  <si>
    <t>tofu</t>
  </si>
  <si>
    <t>soja</t>
  </si>
  <si>
    <t>seitan</t>
  </si>
  <si>
    <t>tempeh</t>
  </si>
  <si>
    <t>feve</t>
  </si>
  <si>
    <t>lupin</t>
  </si>
  <si>
    <t>pois casse</t>
  </si>
  <si>
    <t>cuisiner</t>
  </si>
  <si>
    <t>pois chiches</t>
  </si>
  <si>
    <t>haricots rouges</t>
  </si>
  <si>
    <t>lentilles corail</t>
  </si>
  <si>
    <t>feverole</t>
  </si>
  <si>
    <t>graines</t>
  </si>
  <si>
    <t>SOURCE_PROTEINES</t>
  </si>
  <si>
    <t>Sources de protéines végétales</t>
  </si>
  <si>
    <t>La réponse identifie des sources végétales utilisables en cuisine.</t>
  </si>
  <si>
    <t>Faire citer des sources précises : lentilles, pois chiches, haricots, pois cassés, tofu, tempeh, seitan, lupin.</t>
  </si>
  <si>
    <t>proteine</t>
  </si>
  <si>
    <t>vegetale</t>
  </si>
  <si>
    <t>lentilles</t>
  </si>
  <si>
    <t>haricots blancs</t>
  </si>
  <si>
    <t>PLAT_COMPLET</t>
  </si>
  <si>
    <t>Plat complet / composition</t>
  </si>
  <si>
    <t>La réponse associe source protéique, céréale/féculent, légumes, sauce et équilibre du repas.</t>
  </si>
  <si>
    <t>Demander de construire une assiette complète : légumineuse + céréale/féculent + légumes + sauce.</t>
  </si>
  <si>
    <t>plat complet</t>
  </si>
  <si>
    <t>legumineuse</t>
  </si>
  <si>
    <t>cereale</t>
  </si>
  <si>
    <t>feculent</t>
  </si>
  <si>
    <t>legume</t>
  </si>
  <si>
    <t>sauce</t>
  </si>
  <si>
    <t>equilibre</t>
  </si>
  <si>
    <t>repas</t>
  </si>
  <si>
    <t>assiette</t>
  </si>
  <si>
    <t>associer</t>
  </si>
  <si>
    <t>complet</t>
  </si>
  <si>
    <t>menu</t>
  </si>
  <si>
    <t>riz</t>
  </si>
  <si>
    <t>ble</t>
  </si>
  <si>
    <t>semoule</t>
  </si>
  <si>
    <t>quinoa</t>
  </si>
  <si>
    <t>garniture</t>
  </si>
  <si>
    <t>repas complet</t>
  </si>
  <si>
    <t>COLLECTIF</t>
  </si>
  <si>
    <t>Contexte restauration collective</t>
  </si>
  <si>
    <t>La réponse tient compte de la production collective : volume, service, self, convives.</t>
  </si>
  <si>
    <t>Ramener la réponse au terrain : grande quantité, self, service, convives, organisation.</t>
  </si>
  <si>
    <t>collectivite</t>
  </si>
  <si>
    <t>collective</t>
  </si>
  <si>
    <t>self</t>
  </si>
  <si>
    <t>convive</t>
  </si>
  <si>
    <t>service</t>
  </si>
  <si>
    <t>grande quantite</t>
  </si>
  <si>
    <t>cuisine collective</t>
  </si>
  <si>
    <t>restauration</t>
  </si>
  <si>
    <t>production</t>
  </si>
  <si>
    <t>portion</t>
  </si>
  <si>
    <t>eleves</t>
  </si>
  <si>
    <t>assiettes</t>
  </si>
  <si>
    <t>restauration collective</t>
  </si>
  <si>
    <t>cantine</t>
  </si>
  <si>
    <t>cuisine centrale</t>
  </si>
  <si>
    <t>plateaux</t>
  </si>
  <si>
    <t>GOUT_ASSAISONNEMENT</t>
  </si>
  <si>
    <t>Goût / assaisonnement</t>
  </si>
  <si>
    <t>La réponse traite le goût, l'assaisonnement, les épices, la marinade ou les aromates.</t>
  </si>
  <si>
    <t>Faire préciser comment donner du goût : épices, aromates, sauce, marinade, cuisson.</t>
  </si>
  <si>
    <t>gout</t>
  </si>
  <si>
    <t>fade</t>
  </si>
  <si>
    <t>assaisonnement</t>
  </si>
  <si>
    <t>epice</t>
  </si>
  <si>
    <t>aromate</t>
  </si>
  <si>
    <t>marinade</t>
  </si>
  <si>
    <t>sel</t>
  </si>
  <si>
    <t>poivre</t>
  </si>
  <si>
    <t>relever</t>
  </si>
  <si>
    <t>parfum</t>
  </si>
  <si>
    <t>savoureux</t>
  </si>
  <si>
    <t>herbes</t>
  </si>
  <si>
    <t>pas de gout</t>
  </si>
  <si>
    <t>pas assez sale</t>
  </si>
  <si>
    <t>bien assaisonne</t>
  </si>
  <si>
    <t>epices douces</t>
  </si>
  <si>
    <t>mariner</t>
  </si>
  <si>
    <t>TEXTURE_MACHE</t>
  </si>
  <si>
    <t>Texture / mâche</t>
  </si>
  <si>
    <t>La réponse traite la texture, la mâche, le moelleux, le fondant ou le risque farineux/sec.</t>
  </si>
  <si>
    <t>Demander un contrôle texture : sec, farineux, fondant, moelleux, mâche, onctuosité.</t>
  </si>
  <si>
    <t>texture</t>
  </si>
  <si>
    <t>mache</t>
  </si>
  <si>
    <t>moelleux</t>
  </si>
  <si>
    <t>fondant</t>
  </si>
  <si>
    <t>farineux</t>
  </si>
  <si>
    <t>sec</t>
  </si>
  <si>
    <t>onctueux</t>
  </si>
  <si>
    <t>onctueuse</t>
  </si>
  <si>
    <t>croquant</t>
  </si>
  <si>
    <t>souple</t>
  </si>
  <si>
    <t>tenue</t>
  </si>
  <si>
    <t>dessechement</t>
  </si>
  <si>
    <t>trop sec</t>
  </si>
  <si>
    <t>pateux</t>
  </si>
  <si>
    <t>mou</t>
  </si>
  <si>
    <t>casse</t>
  </si>
  <si>
    <t>friable</t>
  </si>
  <si>
    <t>trop cuit</t>
  </si>
  <si>
    <t>SAUCE_MOELLEUX</t>
  </si>
  <si>
    <t>Sauce / moelleux</t>
  </si>
  <si>
    <t>La réponse montre le rôle de la sauce dans l'acceptation et la tenue du plat.</t>
  </si>
  <si>
    <t>Faire intégrer une sauce suffisante : liaison, humidité, nappage, goût et tenue au chaud.</t>
  </si>
  <si>
    <t>jus</t>
  </si>
  <si>
    <t>liaison</t>
  </si>
  <si>
    <t>nappant</t>
  </si>
  <si>
    <t>humidite</t>
  </si>
  <si>
    <t>cremeux</t>
  </si>
  <si>
    <t>accompagnement</t>
  </si>
  <si>
    <t>liant</t>
  </si>
  <si>
    <t>reduction</t>
  </si>
  <si>
    <t>fond</t>
  </si>
  <si>
    <t>pas assez de sauce</t>
  </si>
  <si>
    <t>manque de sauce</t>
  </si>
  <si>
    <t>sauce courte</t>
  </si>
  <si>
    <t>plus de sauce</t>
  </si>
  <si>
    <t>sauce tomate</t>
  </si>
  <si>
    <t>sauce longue</t>
  </si>
  <si>
    <t>GASPILLAGE_RESTES</t>
  </si>
  <si>
    <t>Gaspillage / retours assiette</t>
  </si>
  <si>
    <t>La réponse relie restes, retours assiette, pertes ou gaspillage à l'amélioration du plat.</t>
  </si>
  <si>
    <t>Faire mesurer les retours et chercher la cause : portion, goût, texture, communication.</t>
  </si>
  <si>
    <t>gaspillage</t>
  </si>
  <si>
    <t>reste</t>
  </si>
  <si>
    <t>retour assiette</t>
  </si>
  <si>
    <t>plonge</t>
  </si>
  <si>
    <t>perte</t>
  </si>
  <si>
    <t>poubelle</t>
  </si>
  <si>
    <t>plateau</t>
  </si>
  <si>
    <t>non consomme</t>
  </si>
  <si>
    <t>portion trop grande</t>
  </si>
  <si>
    <t>reste beaucoup</t>
  </si>
  <si>
    <t>dechets</t>
  </si>
  <si>
    <t>trop de restes</t>
  </si>
  <si>
    <t>jette</t>
  </si>
  <si>
    <t>jete</t>
  </si>
  <si>
    <t>rien mange</t>
  </si>
  <si>
    <t>assiette pleine</t>
  </si>
  <si>
    <t>retours plateau</t>
  </si>
  <si>
    <t>SATISFACTION_ACCEPTABILITE</t>
  </si>
  <si>
    <t>Satisfaction / acceptabilité</t>
  </si>
  <si>
    <t>La réponse prévoit un retour convives ou une mesure d'acceptabilité.</t>
  </si>
  <si>
    <t>Demander avis, observation self, taux de retour, questionnaire ou échange terrain.</t>
  </si>
  <si>
    <t>satisfaction</t>
  </si>
  <si>
    <t>acceptabilite</t>
  </si>
  <si>
    <t>avis</t>
  </si>
  <si>
    <t>retour</t>
  </si>
  <si>
    <t>questionnaire</t>
  </si>
  <si>
    <t>apprecie</t>
  </si>
  <si>
    <t>refus</t>
  </si>
  <si>
    <t>accepte</t>
  </si>
  <si>
    <t>goute</t>
  </si>
  <si>
    <t>commentaire</t>
  </si>
  <si>
    <t>enquete</t>
  </si>
  <si>
    <t>pas aime</t>
  </si>
  <si>
    <t>ont pas aime</t>
  </si>
  <si>
    <t>aime bien</t>
  </si>
  <si>
    <t>les eleves aiment</t>
  </si>
  <si>
    <t>plait</t>
  </si>
  <si>
    <t>gouter</t>
  </si>
  <si>
    <t>COMMUNICATION_POSITIVE</t>
  </si>
  <si>
    <t>Communication positive</t>
  </si>
  <si>
    <t>La réponse présente le plat sans culpabiliser ni opposer viande et végétal.</t>
  </si>
  <si>
    <t>Faire reformuler de manière positive : donner envie, expliquer simplement, sans morale.</t>
  </si>
  <si>
    <t>communication</t>
  </si>
  <si>
    <t>presenter</t>
  </si>
  <si>
    <t>annonce</t>
  </si>
  <si>
    <t>positif</t>
  </si>
  <si>
    <t>donner envie</t>
  </si>
  <si>
    <t>culpabiliser</t>
  </si>
  <si>
    <t>opposer</t>
  </si>
  <si>
    <t>viande</t>
  </si>
  <si>
    <t>vegetal</t>
  </si>
  <si>
    <t>valoriser</t>
  </si>
  <si>
    <t>nom du plat</t>
  </si>
  <si>
    <t>discours</t>
  </si>
  <si>
    <t>expliquer le plat</t>
  </si>
  <si>
    <t>bien expliquer</t>
  </si>
  <si>
    <t>sans faire la morale</t>
  </si>
  <si>
    <t>nom clair</t>
  </si>
  <si>
    <t>annoncer</t>
  </si>
  <si>
    <t>faire gouter</t>
  </si>
  <si>
    <t>ALLERGENE_SOJA</t>
  </si>
  <si>
    <t>La réponse identifie le soja/tofu/PST comme allergène à contrôler.</t>
  </si>
  <si>
    <t>Exiger affichage allergène, recette claire et alternative si besoin.</t>
  </si>
  <si>
    <t>proteines de soja</t>
  </si>
  <si>
    <t>proteine de soja</t>
  </si>
  <si>
    <t>pst</t>
  </si>
  <si>
    <t>allergene soja</t>
  </si>
  <si>
    <t>soya</t>
  </si>
  <si>
    <t>allergene</t>
  </si>
  <si>
    <t>alternative</t>
  </si>
  <si>
    <t>sauce soja</t>
  </si>
  <si>
    <t>a afficher</t>
  </si>
  <si>
    <t>a signaler</t>
  </si>
  <si>
    <t>soja cache</t>
  </si>
  <si>
    <t>ALLERGENE_GLUTEN_SEITAN</t>
  </si>
  <si>
    <t>Allergène gluten / seitan</t>
  </si>
  <si>
    <t>La réponse identifie le gluten du seitan ou du blé et prévoit information/alternative.</t>
  </si>
  <si>
    <t>Faire signaler gluten clairement et prévoir une alternative sans gluten.</t>
  </si>
  <si>
    <t>gluten</t>
  </si>
  <si>
    <t>allergene gluten</t>
  </si>
  <si>
    <t>sans gluten</t>
  </si>
  <si>
    <t>etiquette</t>
  </si>
  <si>
    <t>affichage</t>
  </si>
  <si>
    <t>intolerance</t>
  </si>
  <si>
    <t>contient gluten</t>
  </si>
  <si>
    <t>gluten a afficher</t>
  </si>
  <si>
    <t>ALLERGENE_LUPIN</t>
  </si>
  <si>
    <t>La réponse identifie le lupin comme allergène réglementaire à signaler.</t>
  </si>
  <si>
    <t>Demander affichage clair du lupin et vigilance sur recettes composées.</t>
  </si>
  <si>
    <t>allergene lupin</t>
  </si>
  <si>
    <t>signalement</t>
  </si>
  <si>
    <t>lupin a afficher</t>
  </si>
  <si>
    <t>lupin allergene</t>
  </si>
  <si>
    <t>etiquette allergene</t>
  </si>
  <si>
    <t>vigilance</t>
  </si>
  <si>
    <t>COUT</t>
  </si>
  <si>
    <t>Coût / prix / budget</t>
  </si>
  <si>
    <t>La réponse distingue prix d'achat, coût portion, temps de production, pertes et budget.</t>
  </si>
  <si>
    <t>Faire calculer coût réel : matière + main-d'œuvre + rendement + gaspillage.</t>
  </si>
  <si>
    <t>cout</t>
  </si>
  <si>
    <t>prix</t>
  </si>
  <si>
    <t>budget</t>
  </si>
  <si>
    <t>matiere</t>
  </si>
  <si>
    <t>achat</t>
  </si>
  <si>
    <t>main d oeuvre</t>
  </si>
  <si>
    <t>temps</t>
  </si>
  <si>
    <t>rendement</t>
  </si>
  <si>
    <t>cout portion</t>
  </si>
  <si>
    <t>annuel</t>
  </si>
  <si>
    <t>cout matiere</t>
  </si>
  <si>
    <t>cout reel</t>
  </si>
  <si>
    <t>pas rentable</t>
  </si>
  <si>
    <t>moins cher</t>
  </si>
  <si>
    <t>temps preparation</t>
  </si>
  <si>
    <t>NUTRITION</t>
  </si>
  <si>
    <t>Lecture nutritionnelle</t>
  </si>
  <si>
    <t>La réponse évoque protéines, fibres, fer, équilibre, satiété ou digestion.</t>
  </si>
  <si>
    <t>Faire relier la recette aux apports : protéines, fibres, fer et équilibre global.</t>
  </si>
  <si>
    <t>nutrition</t>
  </si>
  <si>
    <t>fibres</t>
  </si>
  <si>
    <t>fer</t>
  </si>
  <si>
    <t>satiete</t>
  </si>
  <si>
    <t>digestion</t>
  </si>
  <si>
    <t>apport</t>
  </si>
  <si>
    <t>repas equilibre</t>
  </si>
  <si>
    <t>source proteique</t>
  </si>
  <si>
    <t>nutriment</t>
  </si>
  <si>
    <t>proteines</t>
  </si>
  <si>
    <t>bon apport</t>
  </si>
  <si>
    <t>digeste</t>
  </si>
  <si>
    <t>CUISSON_TENUE</t>
  </si>
  <si>
    <t>Cuisson / tenue au chaud</t>
  </si>
  <si>
    <t>La réponse vérifie cuisson, réchauffage, maintien au chaud ou dessèchement.</t>
  </si>
  <si>
    <t>Demander un test après maintien au chaud et réchauffage avant généralisation.</t>
  </si>
  <si>
    <t>cuisson</t>
  </si>
  <si>
    <t>cuire</t>
  </si>
  <si>
    <t>maintien au chaud</t>
  </si>
  <si>
    <t>tenue au chaud</t>
  </si>
  <si>
    <t>rechauffage</t>
  </si>
  <si>
    <t>45 minutes</t>
  </si>
  <si>
    <t>temperature</t>
  </si>
  <si>
    <t>service differe</t>
  </si>
  <si>
    <t>remise en temperature</t>
  </si>
  <si>
    <t>trop longtemps au chaud</t>
  </si>
  <si>
    <t>devient sec</t>
  </si>
  <si>
    <t>devient epais</t>
  </si>
  <si>
    <t>rechauffer</t>
  </si>
  <si>
    <t>tenir au chaud</t>
  </si>
  <si>
    <t>remise en chauffe</t>
  </si>
  <si>
    <t>EHPAD_TEXTURE</t>
  </si>
  <si>
    <t>Adaptation EHPAD / textures</t>
  </si>
  <si>
    <t>La réponse tient compte de la personne âgée, texture modifiée, mâche ou manger-main.</t>
  </si>
  <si>
    <t>Faire adapter texture, goût, sauce, portion, apports et sécurité alimentaire.</t>
  </si>
  <si>
    <t>ehpad</t>
  </si>
  <si>
    <t>personne agee</t>
  </si>
  <si>
    <t>texture modifiee</t>
  </si>
  <si>
    <t>mixee</t>
  </si>
  <si>
    <t>manger main</t>
  </si>
  <si>
    <t>resident</t>
  </si>
  <si>
    <t>deglutition</t>
  </si>
  <si>
    <t>senior</t>
  </si>
  <si>
    <t>residents</t>
  </si>
  <si>
    <t>facile a macher</t>
  </si>
  <si>
    <t>facile a manger</t>
  </si>
  <si>
    <t>texture lisse</t>
  </si>
  <si>
    <t>mixe</t>
  </si>
  <si>
    <t>ORGANISATION_PROD</t>
  </si>
  <si>
    <t>Organisation / production</t>
  </si>
  <si>
    <t>La réponse tient compte du temps, matériel, fiche technique et organisation de production.</t>
  </si>
  <si>
    <t>Faire préciser matériel, temps, poste, main-d'œuvre, ordonnancement et fiche technique.</t>
  </si>
  <si>
    <t>organisation</t>
  </si>
  <si>
    <t>materiel</t>
  </si>
  <si>
    <t>fiche technique</t>
  </si>
  <si>
    <t>epluchage</t>
  </si>
  <si>
    <t>preparation</t>
  </si>
  <si>
    <t>poste</t>
  </si>
  <si>
    <t>process</t>
  </si>
  <si>
    <t>grammage</t>
  </si>
  <si>
    <t>a preparer</t>
  </si>
  <si>
    <t>en avance</t>
  </si>
  <si>
    <t>poste de travail</t>
  </si>
  <si>
    <t>materiel adapte</t>
  </si>
  <si>
    <t>temps de cuisson</t>
  </si>
  <si>
    <t>organisation cuisine</t>
  </si>
  <si>
    <t>HYGIENE_HACCP</t>
  </si>
  <si>
    <t>Hygiène / HACCP / sécurité sanitaire</t>
  </si>
  <si>
    <t>La réponse respecte les règles d'hygiène, température, refroidissement et contrôle sanitaire.</t>
  </si>
  <si>
    <t>Faire citer températures, refroidissement, réchauffage, traçabilité et contrôle HACCP.</t>
  </si>
  <si>
    <t>hygiene</t>
  </si>
  <si>
    <t>haccp</t>
  </si>
  <si>
    <t>sanitaire</t>
  </si>
  <si>
    <t>refroidissement</t>
  </si>
  <si>
    <t>tracabilite</t>
  </si>
  <si>
    <t>chaine du froid</t>
  </si>
  <si>
    <t>risque</t>
  </si>
  <si>
    <t>chaine froide</t>
  </si>
  <si>
    <t>garder au chaud</t>
  </si>
  <si>
    <t>refroidir vite</t>
  </si>
  <si>
    <t>date limite</t>
  </si>
  <si>
    <t>protocole</t>
  </si>
  <si>
    <t>securite alimentaire</t>
  </si>
  <si>
    <t>APPRO_ACHATS</t>
  </si>
  <si>
    <t>Approvisionnement / achats</t>
  </si>
  <si>
    <t>La réponse analyse disponibilité, stockage, origine, prix et régularité d'approvisionnement.</t>
  </si>
  <si>
    <t>Faire comparer achat local, industriel, sec, appertisé, surgelé, coût et disponibilité.</t>
  </si>
  <si>
    <t>approvisionnement</t>
  </si>
  <si>
    <t>disponibilite</t>
  </si>
  <si>
    <t>stockage</t>
  </si>
  <si>
    <t>origine</t>
  </si>
  <si>
    <t>local</t>
  </si>
  <si>
    <t>surgele</t>
  </si>
  <si>
    <t>appertise</t>
  </si>
  <si>
    <t>fournisseur</t>
  </si>
  <si>
    <t>regularite</t>
  </si>
  <si>
    <t>produit local</t>
  </si>
  <si>
    <t>rupture</t>
  </si>
  <si>
    <t>achat local</t>
  </si>
  <si>
    <t>prix instable</t>
  </si>
  <si>
    <t>stock</t>
  </si>
  <si>
    <t>TEST_MESURE</t>
  </si>
  <si>
    <t>Test / mesure / indicateurs</t>
  </si>
  <si>
    <t>La réponse propose une méthode de test ou des indicateurs de suivi.</t>
  </si>
  <si>
    <t>Faire indiquer un protocole : test panel, observation, pesée restes, avis et indicateurs.</t>
  </si>
  <si>
    <t>test</t>
  </si>
  <si>
    <t>mesurer</t>
  </si>
  <si>
    <t>indicateur</t>
  </si>
  <si>
    <t>suivi</t>
  </si>
  <si>
    <t>peser</t>
  </si>
  <si>
    <t>observer</t>
  </si>
  <si>
    <t>taux</t>
  </si>
  <si>
    <t>evaluation</t>
  </si>
  <si>
    <t>faire tester</t>
  </si>
  <si>
    <t>questionnaire eleves</t>
  </si>
  <si>
    <t>peser les restes</t>
  </si>
  <si>
    <t>observer le self</t>
  </si>
  <si>
    <t>suivre les retours</t>
  </si>
  <si>
    <t>test convives</t>
  </si>
  <si>
    <t>NON_GOUTS</t>
  </si>
  <si>
    <t>Non-goûts / refus</t>
  </si>
  <si>
    <t>La réponse prend en compte habitudes, refus, non-goûts et acceptabilité réelle.</t>
  </si>
  <si>
    <t>Faire distinguer allergène, intolérance, non-goût et habitude alimentaire.</t>
  </si>
  <si>
    <t>non gout</t>
  </si>
  <si>
    <t>n aime pas</t>
  </si>
  <si>
    <t>habitude</t>
  </si>
  <si>
    <t>preference</t>
  </si>
  <si>
    <t>public</t>
  </si>
  <si>
    <t>rejet</t>
  </si>
  <si>
    <t>aversion</t>
  </si>
  <si>
    <t>aime pas</t>
  </si>
  <si>
    <t>ne veut pas gouter</t>
  </si>
  <si>
    <t>rejette</t>
  </si>
  <si>
    <t>pas envie</t>
  </si>
  <si>
    <t>pas habitue</t>
  </si>
  <si>
    <t>public difficile</t>
  </si>
  <si>
    <t>MENU_CYCLE</t>
  </si>
  <si>
    <t>Cycle de menus / diversification</t>
  </si>
  <si>
    <t>La réponse raisonne en cycle et varie les sources sans répétition excessive.</t>
  </si>
  <si>
    <t>Faire planifier sur plusieurs semaines : lentilles, pois chiches, haricots, tofu, pois cassés.</t>
  </si>
  <si>
    <t>cycle</t>
  </si>
  <si>
    <t>semaine</t>
  </si>
  <si>
    <t>diversification</t>
  </si>
  <si>
    <t>varier</t>
  </si>
  <si>
    <t>repetition</t>
  </si>
  <si>
    <t>progressif</t>
  </si>
  <si>
    <t>plan alimentaire</t>
  </si>
  <si>
    <t>rotation</t>
  </si>
  <si>
    <t>plusieurs semaines</t>
  </si>
  <si>
    <t>pas toutes les semaines</t>
  </si>
  <si>
    <t>changer recette</t>
  </si>
  <si>
    <t>alterner</t>
  </si>
  <si>
    <t>menu semaine</t>
  </si>
  <si>
    <t>cycle menus</t>
  </si>
  <si>
    <t>varier les plats</t>
  </si>
  <si>
    <t>SERVICE_PRESENTATION</t>
  </si>
  <si>
    <t>Service / présentation / nom du plat</t>
  </si>
  <si>
    <t>La réponse tient compte de l'image, du nom, du dressage, du self et de l'équipe de service.</t>
  </si>
  <si>
    <t>Faire travailler le nom du plat, la présentation au self et l'argumentaire de service.</t>
  </si>
  <si>
    <t>dressage</t>
  </si>
  <si>
    <t>presentation</t>
  </si>
  <si>
    <t>image</t>
  </si>
  <si>
    <t>equipe de service</t>
  </si>
  <si>
    <t>affiche self</t>
  </si>
  <si>
    <t>au self</t>
  </si>
  <si>
    <t>nom vendeur</t>
  </si>
  <si>
    <t>joli dressage</t>
  </si>
  <si>
    <t>couleur du plat</t>
  </si>
  <si>
    <t>presentation claire</t>
  </si>
  <si>
    <t>RECETTE_FAMILIERE</t>
  </si>
  <si>
    <t>Recette connue / adaptation</t>
  </si>
  <si>
    <t>La réponse utilise un plat familier pour sécuriser l'acceptation.</t>
  </si>
  <si>
    <t>Faire adapter une recette connue : chili, dhal, bolognaise, curry, hachis, sauce tomate.</t>
  </si>
  <si>
    <t>chili</t>
  </si>
  <si>
    <t>dhal</t>
  </si>
  <si>
    <t>bolognaise</t>
  </si>
  <si>
    <t>recette connue</t>
  </si>
  <si>
    <t>plat familier</t>
  </si>
  <si>
    <t>curry</t>
  </si>
  <si>
    <t>adapter</t>
  </si>
  <si>
    <t>version vegetale</t>
  </si>
  <si>
    <t>plat connu</t>
  </si>
  <si>
    <t>chili vegetal</t>
  </si>
  <si>
    <t>curry lentilles</t>
  </si>
  <si>
    <t>couscous vegetal</t>
  </si>
  <si>
    <t>hachis vegetal</t>
  </si>
  <si>
    <t>lasagne lentilles</t>
  </si>
  <si>
    <t>QUALITE</t>
  </si>
  <si>
    <t>Contrôle qualité avant service</t>
  </si>
  <si>
    <t>La réponse prévoit une grille ou un contrôle avant service.</t>
  </si>
  <si>
    <t>Faire contrôler goût, texture, sauce, température, portion, allergènes et présentation.</t>
  </si>
  <si>
    <t>qualite</t>
  </si>
  <si>
    <t>grille</t>
  </si>
  <si>
    <t>avant service</t>
  </si>
  <si>
    <t>verifier</t>
  </si>
  <si>
    <t>audit</t>
  </si>
  <si>
    <t>fiche controle</t>
  </si>
  <si>
    <t>critere</t>
  </si>
  <si>
    <t>conformite</t>
  </si>
  <si>
    <t>gouter avant</t>
  </si>
  <si>
    <t>controler avant</t>
  </si>
  <si>
    <t>verifier gout</t>
  </si>
  <si>
    <t>verifier texture</t>
  </si>
  <si>
    <t>verifier sauce</t>
  </si>
  <si>
    <t>verifier allergenes</t>
  </si>
  <si>
    <t>DECISION_ARBITRAGE</t>
  </si>
  <si>
    <t>Décision / arbitrage</t>
  </si>
  <si>
    <t>La réponse propose une décision argumentée : maintenir, retravailler, tester de nouveau.</t>
  </si>
  <si>
    <t>Faire justifier la décision avec coût, satisfaction, gaspillage et contraintes de production.</t>
  </si>
  <si>
    <t>decision</t>
  </si>
  <si>
    <t>maintenir</t>
  </si>
  <si>
    <t>retravailler</t>
  </si>
  <si>
    <t>arbitrage</t>
  </si>
  <si>
    <t>plan d action</t>
  </si>
  <si>
    <t>amelioration continue</t>
  </si>
  <si>
    <t>priorite</t>
  </si>
  <si>
    <t>corriger</t>
  </si>
  <si>
    <t>valider</t>
  </si>
  <si>
    <t>a garder</t>
  </si>
  <si>
    <t>a refaire</t>
  </si>
  <si>
    <t>a corriger</t>
  </si>
  <si>
    <t>a retirer</t>
  </si>
  <si>
    <t>test negatif</t>
  </si>
  <si>
    <t>decision finale</t>
  </si>
  <si>
    <t>REGLEMENTAIRE_INFO</t>
  </si>
  <si>
    <t>Information réglementaire / affichage</t>
  </si>
  <si>
    <t>La réponse prévoit un affichage clair des allergènes et informations de service.</t>
  </si>
  <si>
    <t>Faire mentionner l'étiquette, l'affichage, la lisibilité et la vérification avant service.</t>
  </si>
  <si>
    <t>lisible</t>
  </si>
  <si>
    <t>information</t>
  </si>
  <si>
    <t>clair</t>
  </si>
  <si>
    <t>visible</t>
  </si>
  <si>
    <t>afficher allergenes</t>
  </si>
  <si>
    <t>affiche allergene</t>
  </si>
  <si>
    <t>information claire</t>
  </si>
  <si>
    <t>etiquette lisible</t>
  </si>
  <si>
    <t>avant le service</t>
  </si>
  <si>
    <t>convives informes</t>
  </si>
  <si>
    <t>Moteur de correction — questions ouvertes sur les protéines végétales</t>
  </si>
  <si>
    <t>1</t>
  </si>
  <si>
    <t>2</t>
  </si>
  <si>
    <t>3</t>
  </si>
  <si>
    <t>4</t>
  </si>
  <si>
    <t>5</t>
  </si>
  <si>
    <t>6</t>
  </si>
  <si>
    <t>Rôle</t>
  </si>
  <si>
    <t>Grille_questions</t>
  </si>
  <si>
    <t>Dictionnaire_criteres</t>
  </si>
  <si>
    <t>ONGLET Questions_150</t>
  </si>
  <si>
    <t>La colonne Y Critères déclencheurs intégrés n’a pas de répercussion directe sur le score du moteur.</t>
  </si>
  <si>
    <t>Rôle réel de la colonne Y</t>
  </si>
  <si>
    <r>
      <t xml:space="preserve">La colonne </t>
    </r>
    <r>
      <rPr>
        <b/>
        <sz val="12"/>
        <rFont val="Calibri"/>
        <family val="2"/>
        <scheme val="minor"/>
      </rPr>
      <t>Y</t>
    </r>
    <r>
      <rPr>
        <sz val="12"/>
        <rFont val="Calibri"/>
        <family val="2"/>
        <scheme val="minor"/>
      </rPr>
      <t xml:space="preserve"> sert seulement de </t>
    </r>
    <r>
      <rPr>
        <b/>
        <sz val="12"/>
        <rFont val="Calibri"/>
        <family val="2"/>
        <scheme val="minor"/>
      </rPr>
      <t>colonne de contrôle / traçabilité</t>
    </r>
  </si>
  <si>
    <t>elle explique quels critères la réponse formateur et la réponse CFA sont censées déclencher</t>
  </si>
  <si>
    <r>
      <t xml:space="preserve">Elle aide le formateur à vérifier que les réponses en </t>
    </r>
    <r>
      <rPr>
        <b/>
        <sz val="12"/>
        <rFont val="Calibri"/>
        <family val="2"/>
        <scheme val="minor"/>
      </rPr>
      <t>T</t>
    </r>
    <r>
      <rPr>
        <sz val="12"/>
        <rFont val="Calibri"/>
        <family val="2"/>
        <scheme val="minor"/>
      </rPr>
      <t xml:space="preserve"> et </t>
    </r>
    <r>
      <rPr>
        <b/>
        <sz val="12"/>
        <rFont val="Calibri"/>
        <family val="2"/>
        <scheme val="minor"/>
      </rPr>
      <t>AB</t>
    </r>
    <r>
      <rPr>
        <sz val="12"/>
        <rFont val="Calibri"/>
        <family val="2"/>
        <scheme val="minor"/>
      </rPr>
      <t xml:space="preserve"> couvrent bien les mêmes idées que la réponse attendue.</t>
    </r>
  </si>
  <si>
    <t>Ce qui influence vraiment le score</t>
  </si>
  <si>
    <t>Le score du MOTEUR_C4 vient principalement de :</t>
  </si>
  <si>
    <t>Élément</t>
  </si>
  <si>
    <t>Questions_150!D</t>
  </si>
  <si>
    <t>question ouverte</t>
  </si>
  <si>
    <t>Questions_150!M</t>
  </si>
  <si>
    <t>réponse solide attendue</t>
  </si>
  <si>
    <t>critères attendus pour chaque question</t>
  </si>
  <si>
    <t>mots-clés qui déclenchent les points</t>
  </si>
  <si>
    <t>MOTEUR_C4!B10</t>
  </si>
  <si>
    <t>réponse réellement analysée</t>
  </si>
  <si>
    <t>MOTEUR_C4!C10 / K10</t>
  </si>
  <si>
    <t>réponse normalisée</t>
  </si>
  <si>
    <t>MOTEUR_C4!F15:F19</t>
  </si>
  <si>
    <t>détection OK / À compléter</t>
  </si>
  <si>
    <t>MOTEUR_C4!G15:G19</t>
  </si>
  <si>
    <t>points obtenus</t>
  </si>
  <si>
    <t>MOTEUR_C4!C21</t>
  </si>
  <si>
    <t>score final</t>
  </si>
  <si>
    <r>
      <t xml:space="preserve">La colonne </t>
    </r>
    <r>
      <rPr>
        <b/>
        <sz val="12"/>
        <rFont val="Calibri"/>
        <family val="2"/>
        <scheme val="minor"/>
      </rPr>
      <t>Y</t>
    </r>
    <r>
      <rPr>
        <sz val="12"/>
        <rFont val="Calibri"/>
        <family val="2"/>
        <scheme val="minor"/>
      </rPr>
      <t xml:space="preserve"> n’est pas appelée dans cette chaîne.</t>
    </r>
  </si>
  <si>
    <t>Donc concrètement</t>
  </si>
  <si>
    <t>Tu peux :</t>
  </si>
  <si>
    <r>
      <t>garder Y visible</t>
    </r>
    <r>
      <rPr>
        <sz val="12"/>
        <rFont val="Calibri"/>
        <family val="2"/>
        <scheme val="minor"/>
      </rPr>
      <t xml:space="preserve"> si tu veux comprendre pourquoi S et U sont censées scorer pareil ;</t>
    </r>
  </si>
  <si>
    <r>
      <t>masquer Y</t>
    </r>
    <r>
      <rPr>
        <sz val="12"/>
        <rFont val="Calibri"/>
        <family val="2"/>
        <scheme val="minor"/>
      </rPr>
      <t xml:space="preserve"> si tu veux alléger la lecture ;</t>
    </r>
  </si>
  <si>
    <r>
      <t>supprimer Y</t>
    </r>
    <r>
      <rPr>
        <sz val="12"/>
        <rFont val="Calibri"/>
        <family val="2"/>
        <scheme val="minor"/>
      </rPr>
      <t xml:space="preserve"> sans modifier le score, à condition qu’aucune future formule ne s’y branche.</t>
    </r>
  </si>
  <si>
    <t>Ma recommandation</t>
  </si>
  <si>
    <t>Je ne la supprimerais pas. Je la renommerais plutôt :</t>
  </si>
  <si>
    <t>Critères visés — contrôle formateur</t>
  </si>
  <si>
    <t>Et je la masquerais éventuellement.</t>
  </si>
  <si>
    <r>
      <t xml:space="preserve">Elle est utile pour l’audit pédagogique, mais </t>
    </r>
    <r>
      <rPr>
        <b/>
        <sz val="12"/>
        <rFont val="Calibri"/>
        <family val="2"/>
        <scheme val="minor"/>
      </rPr>
      <t>elle ne doit pas être considérée comme une colonne moteur</t>
    </r>
    <r>
      <rPr>
        <sz val="12"/>
        <rFont val="Calibri"/>
        <family val="2"/>
        <scheme val="minor"/>
      </rPr>
      <t>.</t>
    </r>
  </si>
  <si>
    <t>Ce classeur sert à corriger des réponses ouvertes. C4 contient la question, B10 contient la réponse. Le moteur note sur 20 par critères détectés dans la réponse.</t>
  </si>
  <si>
    <t>Étape</t>
  </si>
  <si>
    <t>Action</t>
  </si>
  <si>
    <t>Aller dans l’onglet MOTEUR_C4.</t>
  </si>
  <si>
    <t>Saisir la réponse à analyser en B10.</t>
  </si>
  <si>
    <t>7</t>
  </si>
  <si>
    <t>Limites réelles du document</t>
  </si>
  <si>
    <t>Le moteur repère des familles d’idées par mots-clés. Il ne comprend pas le sens profond comme un humain.</t>
  </si>
  <si>
    <t>Une bonne réponse peut être sous-notée si elle utilise un vocabulaire absent du dictionnaire.</t>
  </si>
  <si>
    <t>Une réponse pauvre peut gagner des points si elle empile plusieurs mots attendus sans explication.</t>
  </si>
  <si>
    <t>Le formateur garde la décision finale, surtout pour les questions professionnelles complexes.</t>
  </si>
  <si>
    <t>Compatibilité : formules classiques Excel 2021, sans LET, sans TEXTJOIN, sans fonctions dynamiques.</t>
  </si>
  <si>
    <t>Supprimez le X en cellule G3 pour masquer les réponses.</t>
  </si>
  <si>
    <t>Saisir un numéro de question en C3 : la question se place automatiquement en C4.</t>
  </si>
  <si>
    <t>Ce document est composé de : This document is composed of: Este documento se compone de:</t>
  </si>
  <si>
    <t>Auteur : Joel Leboucher • Rochefort sur Mer |  Date : 22 Janvier 2026  |  heure : 10h07</t>
  </si>
  <si>
    <t>avec valeurs ou texte-with values or text-con valores o texto</t>
  </si>
  <si>
    <t>Fin du document cellule &gt;End of the “cell” document &gt;Fin del documento “celda” &gt;</t>
  </si>
  <si>
    <t>cellules vides - empty cells - celdas vacías</t>
  </si>
  <si>
    <t>Transmission des savoirs faire</t>
  </si>
  <si>
    <t>🇬🇧 Passing on Know-How</t>
  </si>
  <si>
    <t>🇪🇸 Transmisión del Saber Hacer</t>
  </si>
  <si>
    <t>lignes - rows - filas</t>
  </si>
  <si>
    <t>Madame..Monsieur….Bonjour</t>
  </si>
  <si>
    <t>Dear Sir or Madam,</t>
  </si>
  <si>
    <t>Señora, Señor:</t>
  </si>
  <si>
    <t>colonnes - columns - columnas</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</si>
  <si>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</si>
  <si>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</si>
  <si>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</si>
  <si>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</si>
  <si>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</si>
  <si>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</si>
  <si>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</si>
  <si>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</si>
  <si>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</si>
  <si>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</si>
  <si>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</si>
  <si>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</si>
  <si>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</si>
  <si>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</si>
  <si>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</si>
  <si>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</si>
  <si>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</si>
  <si>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</si>
  <si>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</si>
  <si>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</si>
  <si>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</si>
  <si>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</si>
  <si>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</si>
  <si>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</si>
  <si>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</si>
  <si>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</si>
  <si>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</si>
  <si>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</si>
  <si>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</si>
  <si>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</si>
  <si>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Avec vos exemples, chacun pourra avancer à son rythme, avec confiance et gagner en autonomie.</t>
  </si>
  <si>
    <t>Through your examples, everyone can move forward at their own pace, with confidence, and gain autonomy.</t>
  </si>
  <si>
    <t>Con tu ejemplo, cada persona podrá progresar a su ritmo, con confianza y ganar en autonomía.</t>
  </si>
  <si>
    <t xml:space="preserve">Partager ses savoir-faire, c’est une façon de rendre hommage à celles et ceux qui nous ont transmis les leurs, </t>
  </si>
  <si>
    <t>Sharing your know-how is a way to pay tribute to those who passed theirs on to us —</t>
  </si>
  <si>
    <t>Compartir tus saberes es una forma de rendir homenaje a quienes nos transmitieron los suyos,</t>
  </si>
  <si>
    <t>parfois dans le silence ou l’exigence, et grâce à qui nous avançons aujourd’hui.</t>
  </si>
  <si>
    <t>sometimes in silence, sometimes with high expectations — and thanks to whom we move forward today.</t>
  </si>
  <si>
    <t>a veces en silencio, a veces con exigencia, y gracias a quienes seguimos avanzando hoy.</t>
  </si>
  <si>
    <t>Sincères salutations Joël Leboucher 21/10/2025</t>
  </si>
  <si>
    <t>Best regards,Joël Leboucher — October 21, 2025</t>
  </si>
  <si>
    <t>Atentamente,Joël Leboucher — 21 de octubre de 2025</t>
  </si>
  <si>
    <t>Adresse PC</t>
  </si>
  <si>
    <t>Everything  un utilitaire de recherche gratuit pour indexer et rechercher vos fichiers</t>
  </si>
  <si>
    <t>https://everything.fr.softonic.com/</t>
  </si>
  <si>
    <t>Pour faire court voici quelques petits exemples</t>
  </si>
  <si>
    <t>sur cette page vous avez déjà des formules à récupérer et des liens à visiter</t>
  </si>
  <si>
    <t>Utilitaires à copier dans vos documents puis ajustez la largeur des colonnes comme indiqué dans les cellules de couleur en bas de chaque tableau</t>
  </si>
  <si>
    <t>les cellules grises vous indiquent la largeur des colonnes sur votre document et les corrections à apporter</t>
  </si>
  <si>
    <t>la première colonne de chaque tableau n'a pas de cellule grise volontairement. Cette colonne est fusionnée pour vous faciliter la sélection du tableau - Largeur par défaut 3</t>
  </si>
  <si>
    <t>ICI</t>
  </si>
  <si>
    <t>Pourquoi une cellule ICI &gt; pour sélectionner le tableau en se déportant vers la droite et vous pouvez le coller dans une autre feuille</t>
  </si>
  <si>
    <t>Quelques liens hypertexte internes exemple de formules</t>
  </si>
  <si>
    <t>Pour modifier une formule &gt; dans la barre de formule supprimez le =</t>
  </si>
  <si>
    <t>la formule devient texte et se modifie comme du texte</t>
  </si>
  <si>
    <t>Un lien Hypertexte commence toujours par :    LIEN_HYPERTEXTE("#" c25 par exemple</t>
  </si>
  <si>
    <t xml:space="preserve">lorsque vous avez fini remettez un = devant positionnez vous à la fin de la formule </t>
  </si>
  <si>
    <t>Mettre seulement le dièse "#" entre 2 guillemets pour ne pas figer la cellule de destination</t>
  </si>
  <si>
    <t>et appuyez sur Entrée</t>
  </si>
  <si>
    <t>les mises à jours seront automatiques lorsque vous collerez votre tableau dans une autre feuille</t>
  </si>
  <si>
    <t>Vous avez une autre option pour figer la formule &gt; saisissez un ' apostrophe devant =</t>
  </si>
  <si>
    <t>vous obtenez le même résultat  MAIS cet ' est plus difficile à identifier en cas d'erreur</t>
  </si>
  <si>
    <t>Exemples de formules nomades vous indiquez une bonne fois pour toutes l'emplacement de la cellule de destination</t>
  </si>
  <si>
    <t xml:space="preserve">Combiner les Prénoms et Noms </t>
  </si>
  <si>
    <t>A vous d'imaginer d'autres utilisations possibles</t>
  </si>
  <si>
    <t>Affichage</t>
  </si>
  <si>
    <t>Détail de la formule saisie</t>
  </si>
  <si>
    <t>Prénom</t>
  </si>
  <si>
    <t>Nom</t>
  </si>
  <si>
    <t>Combinaison</t>
  </si>
  <si>
    <t>Formules utilisées pour afficher ces résultats</t>
  </si>
  <si>
    <t>Robert</t>
  </si>
  <si>
    <t>Spière</t>
  </si>
  <si>
    <t>Guillaume</t>
  </si>
  <si>
    <t>Tell</t>
  </si>
  <si>
    <t>Prénom et Nom</t>
  </si>
  <si>
    <t>Extraire les Noms et Prénoms</t>
  </si>
  <si>
    <t>Guillaume Tell</t>
  </si>
  <si>
    <t>FORMULETEXTE(O42)</t>
  </si>
  <si>
    <t>Guillaume,Tell</t>
  </si>
  <si>
    <t>indiquez entre les guillemets " , "que vous voulez supprimer la virgule de séparation</t>
  </si>
  <si>
    <t>Séparer Nom et Prénom et en faire une adresse mail</t>
  </si>
  <si>
    <t>https://www.youtube.com/watch?v=2TmdhLLUsOQ</t>
  </si>
  <si>
    <t>Largeurs de colonnes figées pour mémoire  et  Largeurs de colonnes formule pourquoi ?</t>
  </si>
  <si>
    <t xml:space="preserve">Lorsque vous Copiez/Collez un document dans une nouvelle feuille </t>
  </si>
  <si>
    <t>vous n'obtenez pas toujours le même écartement de colonnes pour la taille de police.</t>
  </si>
  <si>
    <t>les formules vous indiquent les nouvelles largeurs et les largeurs figées les corrections à apporter</t>
  </si>
  <si>
    <t>Excel n'aime pas les cellules vides j'ai donc saisi des valeurs 1 dans certaines cellules</t>
  </si>
  <si>
    <t>&lt;Largeurs de colonnes figées pour mémoire</t>
  </si>
  <si>
    <t xml:space="preserve">Pour toutes ces formules remplacez </t>
  </si>
  <si>
    <t>par votre N° de Ligne et de Colonne</t>
  </si>
  <si>
    <t>&lt;Largeurs de colonnes formule</t>
  </si>
  <si>
    <t>l'avantage de ne pas mettre le nom de la cellule entre guillemets c'est qu'elle se mettra automatiquement à jour lorsque vous copierez votre tableau ailleurs</t>
  </si>
  <si>
    <t>Formats de cellules nombres personnalisées</t>
  </si>
  <si>
    <t>UNICAR(128269)</t>
  </si>
  <si>
    <t>Tableau de bord des ventes et de gestion des stocks</t>
  </si>
  <si>
    <t>https://www.youtube.com/watch?v=BEAwIv4fIw4</t>
  </si>
  <si>
    <t>dans les 3 formules suivantes</t>
  </si>
  <si>
    <t># ##0" gr"</t>
  </si>
  <si>
    <t>Lien incrémenté ne se met pas à jour dans un autre emplacement</t>
  </si>
  <si>
    <t># ##0.000" kg"</t>
  </si>
  <si>
    <t>Extraire du texte d'une chaine de caractères</t>
  </si>
  <si>
    <t>formule plus simple MAIS si vous déplacez votre tableau vous devez à chaque fois modifier l'adresse ("# c131";</t>
  </si>
  <si>
    <t>de # ##0.000" kg"</t>
  </si>
  <si>
    <t>Collez votre texte &gt;</t>
  </si>
  <si>
    <t>qtzt-45221-kiu</t>
  </si>
  <si>
    <t>de 0.00" Kg"</t>
  </si>
  <si>
    <t>0.000" Kg"</t>
  </si>
  <si>
    <t>position du premier caractère à extraire</t>
  </si>
  <si>
    <t>0.000K\g</t>
  </si>
  <si>
    <t>nombre de caractères à extraire</t>
  </si>
  <si>
    <t>Poids portion 0.000" Kg"</t>
  </si>
  <si>
    <t>Résultat</t>
  </si>
  <si>
    <t># ##0" cl"</t>
  </si>
  <si>
    <t>0.00 " cm³"</t>
  </si>
  <si>
    <t>Vous pouvez extraire ce que vous voulez d'une phrase des nombre un prénom etc</t>
  </si>
  <si>
    <t>0.000 " dm³"</t>
  </si>
  <si>
    <t>0.000" L"</t>
  </si>
  <si>
    <t>Vous pouvez mettre des émotocones dans vos formules entre deux guillemets "   "</t>
  </si>
  <si>
    <t>0" lignes"</t>
  </si>
  <si>
    <t>"🚲 "   " 🤓 "   " ✔ "   " 🆗 "</t>
  </si>
  <si>
    <t>0" jours"</t>
  </si>
  <si>
    <t>0" H"</t>
  </si>
  <si>
    <t>➕  ⏮  ➿  ⁉  ⬅  ☺  ✔  ❓  🆗  🌼  🚲  🤓  🔛 🚐  «</t>
  </si>
  <si>
    <t>0" Mx"</t>
  </si>
  <si>
    <t>Lien &gt;</t>
  </si>
  <si>
    <t>Voici quelques photos pour aider à estimer les quantités</t>
  </si>
  <si>
    <t>0.0" %"</t>
  </si>
  <si>
    <t>Visuellement, ça représente quoi 100 calories ?</t>
  </si>
  <si>
    <t>🔗</t>
  </si>
  <si>
    <t>🔎#</t>
  </si>
  <si>
    <t>N° 0</t>
  </si>
  <si>
    <t>Col.0</t>
  </si>
  <si>
    <t>Comment taper sur votre clavier d'ordinateur tous les symboles, emoji, signes, icones ?</t>
  </si>
  <si>
    <t>0.0" mm"</t>
  </si>
  <si>
    <t>http://www.symbole-clavier.com/</t>
  </si>
  <si>
    <t>https://www.premiers-clics.fr/cours-informatique/windows-les-fonctionnalites-du-clavier/</t>
  </si>
  <si>
    <t>.</t>
  </si>
  <si>
    <t>0.00" cm"</t>
  </si>
  <si>
    <t>Manuel d’utilisation</t>
  </si>
  <si>
    <t>0.00 " cm²"</t>
  </si>
  <si>
    <t>https://bepo.fr/wiki/Manuel</t>
  </si>
  <si>
    <t>https://bepo.fr/wiki/Menu</t>
  </si>
  <si>
    <t>Actif;"Actif";"Inactif"</t>
  </si>
  <si>
    <t>Vrai;"Vrai";"Faux"</t>
  </si>
  <si>
    <t>Liste des fonctions Excel avec une traduction</t>
  </si>
  <si>
    <t>https://fr.excelfunctions.eu/</t>
  </si>
  <si>
    <t>Pour vous détendre un peu  : Convertir un CD en MP3 avec Windows Media Player</t>
  </si>
  <si>
    <t>https://www.premiers-clics.fr/cours-informatique/windows-convertir-un-cd-en-fichiers-mp3/</t>
  </si>
  <si>
    <t>lorsque vous collez ce tableau ailleurs</t>
  </si>
  <si>
    <t>Amusez vous un tableur c'est fait pour ça</t>
  </si>
  <si>
    <t>Pour obtenir un nombre de plaques gastro à utiliser par exemple</t>
  </si>
  <si>
    <t>dans les formules avec loupe n'oubliez pas de modifier les adresses &gt; # k93 &amp;" K93"</t>
  </si>
  <si>
    <t>🛺</t>
  </si>
  <si>
    <t>🚲</t>
  </si>
  <si>
    <t>si vous utilisez un poids cru vous avez une formule</t>
  </si>
  <si>
    <t>❹ Kg cru</t>
  </si>
  <si>
    <t>et si vous utilisez un poids cuit vous en avez une autre</t>
  </si>
  <si>
    <t>❺ Kg cuit</t>
  </si>
  <si>
    <t>🤓</t>
  </si>
  <si>
    <t>Nombre de contenants</t>
  </si>
  <si>
    <t>Produit conditionné</t>
  </si>
  <si>
    <t>contenant(s) a prévoir &gt;</t>
  </si>
  <si>
    <t>Bœuf</t>
  </si>
  <si>
    <t>Sautés en morceaux service au poids</t>
  </si>
  <si>
    <t>❷ Type de Contenant</t>
  </si>
  <si>
    <t xml:space="preserve"> GN 1/ 1 = 3 Kg crus</t>
  </si>
  <si>
    <t>▼  ❹ ou ❺</t>
  </si>
  <si>
    <t>capacité du contenant ❸</t>
  </si>
  <si>
    <t xml:space="preserve"> Grammage  p.p.❼</t>
  </si>
  <si>
    <t>Effectif ❽</t>
  </si>
  <si>
    <t>couverts</t>
  </si>
  <si>
    <t xml:space="preserve">A conditionner </t>
  </si>
  <si>
    <t>Total contenants &gt;</t>
  </si>
  <si>
    <t>1 cont.pour &gt;</t>
  </si>
  <si>
    <t>un contenant* peut être une panière - un sachet - une plaque gastro - une louche - une barquette etc..</t>
  </si>
  <si>
    <t>Saisissez vos valeurs dans les cellules fond de couleur et collez ❹ Kg cru ou  ❺ Kg cuit</t>
  </si>
  <si>
    <t>LÉGENDE</t>
  </si>
  <si>
    <t>❶ FAMILLE et NOM DU PLAT</t>
  </si>
  <si>
    <t xml:space="preserve">❻ %  de PERTE </t>
  </si>
  <si>
    <t>❻ % de BONI &gt;</t>
  </si>
  <si>
    <t>❸ capacité du contenant*</t>
  </si>
  <si>
    <t>❻ Foisonnement</t>
  </si>
  <si>
    <t>❼  Grammage  p.p.</t>
  </si>
  <si>
    <t>❽ Saisissez vos effectifs</t>
  </si>
  <si>
    <t xml:space="preserve">Collez ❹ Kg cru ou ❺ Kg cuit </t>
  </si>
  <si>
    <t>Cellule &gt;</t>
  </si>
  <si>
    <t>CRU moins % Perte = CUIT</t>
  </si>
  <si>
    <t xml:space="preserve">CUIT + % boni = CRU </t>
  </si>
  <si>
    <t>Utilitaire pour le foisionnement en + ou - pour légumes secs et céréales etc…</t>
  </si>
  <si>
    <t>Cliquez sur les ◀</t>
  </si>
  <si>
    <t>cellules</t>
  </si>
  <si>
    <t>Produit conditionné &gt;</t>
  </si>
  <si>
    <t>Féculent</t>
  </si>
  <si>
    <t>Semoule (poids cru)</t>
  </si>
  <si>
    <t>CRU  Multiplié = CUIT</t>
  </si>
  <si>
    <t xml:space="preserve">CUIT Divisé  = CRU </t>
  </si>
  <si>
    <t xml:space="preserve"> GN 1/ 1 = 35 morceaux</t>
  </si>
  <si>
    <t>Service de quoi ? &gt;</t>
  </si>
  <si>
    <t>Morceaux</t>
  </si>
  <si>
    <t>(Morceaux- Tranches ...?)</t>
  </si>
  <si>
    <t>❹ Cru</t>
  </si>
  <si>
    <t>Poids Unitaire</t>
  </si>
  <si>
    <t>Combien p.p.❼</t>
  </si>
  <si>
    <t>Saisissez vos valeurs dans les cellules fond de couleur et collez ❹ Cu ou  ❺ Cuit</t>
  </si>
  <si>
    <t>❼  Quantité p.p.</t>
  </si>
  <si>
    <t>❺ Cuit</t>
  </si>
  <si>
    <t>Collez ❹ Cru ou ❺ Cuit Cellule &gt;</t>
  </si>
  <si>
    <t>Prix D'ACHAT / Prix de VENTE</t>
  </si>
  <si>
    <t>Bricolage "artisanal "   on peut faire plus simple mais c'est "pédagogique"</t>
  </si>
  <si>
    <t>&lt; position colonne et n° de ligne</t>
  </si>
  <si>
    <t>PRIX D'ACHAT</t>
  </si>
  <si>
    <t>PRIX VENTE</t>
  </si>
  <si>
    <t>%  d'augmentation</t>
  </si>
  <si>
    <t>Augmentation</t>
  </si>
  <si>
    <t xml:space="preserve">Saisissez vos valeurs dans les cellules fond ivoire </t>
  </si>
  <si>
    <t>Aide à la décision en Kg</t>
  </si>
  <si>
    <t>Pourcentages NET / BRUT et BRUT / NET</t>
  </si>
  <si>
    <t>Décriptage d'une recette par les pourcentages</t>
  </si>
  <si>
    <t>POIDS NET</t>
  </si>
  <si>
    <t>Nom de la recette &gt;</t>
  </si>
  <si>
    <t>PUNCH</t>
  </si>
  <si>
    <t>POIDS BRUT</t>
  </si>
  <si>
    <t>POIDS de PERTE</t>
  </si>
  <si>
    <t>%  de PERTE</t>
  </si>
  <si>
    <t xml:space="preserve"> Poids de perte</t>
  </si>
  <si>
    <t>Poids brut</t>
  </si>
  <si>
    <t>Total :</t>
  </si>
  <si>
    <t>%  de perte</t>
  </si>
  <si>
    <t>Pourcentages</t>
  </si>
  <si>
    <t>NET</t>
  </si>
  <si>
    <t>% Perte</t>
  </si>
  <si>
    <t>BRUT</t>
  </si>
  <si>
    <t>POIDS DE LA RECETTE A DÉCRYPTER &gt;</t>
  </si>
  <si>
    <t>Poids net</t>
  </si>
  <si>
    <t>Rhum</t>
  </si>
  <si>
    <t>Sucre de cannes</t>
  </si>
  <si>
    <t>Jus de pamplemousse</t>
  </si>
  <si>
    <t>Jus d'orange</t>
  </si>
  <si>
    <t>Citron vert</t>
  </si>
  <si>
    <t>conversion : volume Centilitres / poids</t>
  </si>
  <si>
    <t>Volume</t>
  </si>
  <si>
    <t>produit</t>
  </si>
  <si>
    <t>densité</t>
  </si>
  <si>
    <t>Poids</t>
  </si>
  <si>
    <t>Eau</t>
  </si>
  <si>
    <t>lait entier</t>
  </si>
  <si>
    <t>Saisissez vos valeurs dans les cellules fond jaune</t>
  </si>
  <si>
    <t>lait 1/2 écrémé</t>
  </si>
  <si>
    <t>Nom de la recette</t>
  </si>
  <si>
    <t>POIDS DE LA RECETTE A DÉCRYPTER</t>
  </si>
  <si>
    <t>huile</t>
  </si>
  <si>
    <t>liste des produits</t>
  </si>
  <si>
    <t>Pourcentages des produits</t>
  </si>
  <si>
    <t>alcool</t>
  </si>
  <si>
    <t>Saisissez vos valeurs dans la cellule fond jaune encre rouge</t>
  </si>
  <si>
    <t>FIN</t>
  </si>
  <si>
    <t>⓪①②③④⑤⑥⑦⑧⑨⑩⑪⑫⑬⑭⑮⑯⑰⑱⑲⑳  0️⃣ 1️⃣ 2️⃣ 3️⃣ 4️⃣ 5️⃣ 6️⃣ 7️⃣ 8️⃣ 9️⃣ 🔟</t>
  </si>
  <si>
    <t xml:space="preserve">⓿❶❷❸❹❺❻❼❽❾❿⓫⓬⓭⓮⓯⓰⓱⓲⓳⓴  </t>
  </si>
  <si>
    <t xml:space="preserve">  ► ◄  ▲ ▼  ➕ ➖ ➗ ✖️  ✅  »   " #  %  &amp;  '@  ≈  ±  ¼  ½  ¾  ! M² m² cm²  M³ m³ cm³ 😊 ChatGPT</t>
  </si>
  <si>
    <t>Cliquez sur la ligne souhaitée, sélectionnez dans la barre de formule le numéro ou la lettre à modifier, puis changez la police ou la couleur.</t>
  </si>
  <si>
    <t>◄ Clé critère saisissez un X</t>
  </si>
  <si>
    <t>◄ Affichage des réponses; saisissez un X</t>
  </si>
  <si>
    <t>Supprimez le X en cellule B14 si vous voulez masquer les critères.</t>
  </si>
  <si>
    <t>Une fois votre réponse saisie en B10, remettez un X en B14  afin d’afficher les éléments de correction et modifier votre réponse.</t>
  </si>
  <si>
    <t>Une fois votre réponse modifiée en B10, remettez un X en G3 afin d’afficher les éléments de correction et contrôler votre réponse.</t>
  </si>
  <si>
    <t>Supprimez le X en cellule G3 et b14 pour masquer les réponses; et recommencez</t>
  </si>
  <si>
    <t>8</t>
  </si>
  <si>
    <t>Auteur : Joel Leboucher • Rochefort sur Mer |  Date : 28 Avril 2026  |  heure : 18h30  |  réalisé avec l'aide de 😊 ChatGPT</t>
  </si>
  <si>
    <t>il y a du soja dans le tofu tout le monde n'aime pas ça;alors je le sert avec une sauce tomate _ vous êtes libre de votre texte</t>
  </si>
  <si>
    <t>(Je fournis la base. Vous construisez votre outil)</t>
  </si>
  <si>
    <t>Un audit Excel sérieux ne doit pas se résumer à “j’ai vérifié / tout est OK”. Il doit produire des preuves contrôlables : plages inspectées, formules modifiées, anciennes formules restantes, erreurs XML, dépendances, tests de notation.</t>
  </si>
  <si>
    <t>PHASE 2 — CONTRÔLE XML OBLIGATOIRE</t>
  </si>
  <si>
    <t>PHASE 4 — AUDIT APRÈS RÉPARATION</t>
  </si>
  <si>
    <t>PHASE 6 — LIVRABLE FINAL</t>
  </si>
  <si>
    <t>1. le fichier Excel corrigé ;</t>
  </si>
  <si>
    <t>1. nom exact des feuilles ;</t>
  </si>
  <si>
    <t>CONCLUSION ATTENDUE</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</si>
  <si>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</si>
  <si>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</si>
  <si>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</si>
  <si>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</si>
  <si>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</si>
  <si>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</si>
  <si>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</si>
  <si>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</si>
  <si>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</si>
  <si>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</si>
  <si>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</si>
  <si>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</si>
  <si>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</si>
  <si>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</si>
  <si>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</si>
  <si>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</si>
  <si>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</si>
  <si>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</si>
  <si>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</si>
  <si>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</si>
  <si>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</si>
  <si>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</si>
  <si>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</si>
  <si>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</si>
  <si>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</si>
  <si>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</si>
  <si>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</si>
  <si>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</si>
  <si>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</si>
  <si>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</si>
  <si>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</si>
  <si>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</si>
  <si>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</si>
  <si>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</si>
  <si>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</si>
  <si>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</si>
  <si>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</si>
  <si>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</si>
  <si>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</si>
  <si>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</si>
  <si>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</si>
  <si>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</si>
  <si>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</si>
  <si>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</si>
  <si>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</si>
  <si>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</si>
  <si>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</si>
  <si>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</si>
  <si>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</si>
  <si>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</si>
  <si>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</si>
  <si>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</si>
  <si>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</si>
  <si>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</si>
  <si>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</si>
  <si>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</si>
  <si>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</si>
  <si>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</si>
  <si>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</si>
  <si>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</si>
  <si>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</si>
  <si>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</si>
  <si>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</si>
  <si>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</si>
  <si>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</si>
  <si>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</si>
  <si>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</si>
  <si>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</si>
  <si>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</si>
  <si>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</si>
  <si>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</si>
  <si>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</si>
  <si>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</si>
  <si>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</si>
  <si>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</si>
  <si>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</si>
  <si>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</si>
  <si>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</si>
  <si>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</si>
  <si>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</si>
  <si>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</si>
  <si>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</si>
  <si>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</si>
  <si>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</si>
  <si>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</si>
  <si>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</si>
  <si>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</si>
  <si>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</si>
  <si>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</si>
  <si>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</si>
  <si>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</si>
  <si>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</si>
  <si>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</si>
  <si>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</si>
  <si>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</si>
  <si>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</si>
  <si>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</si>
  <si>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</si>
  <si>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</si>
  <si>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</si>
  <si>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</si>
  <si>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</si>
  <si>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</si>
  <si>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</si>
  <si>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</si>
  <si>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</si>
  <si>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</si>
  <si>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</si>
  <si>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</si>
  <si>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</si>
  <si>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</si>
  <si>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</si>
  <si>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</si>
  <si>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</si>
  <si>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</si>
  <si>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</si>
  <si>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</si>
  <si>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</si>
  <si>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</si>
  <si>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</si>
  <si>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</si>
  <si>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</si>
  <si>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</si>
  <si>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</si>
  <si>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</si>
  <si>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</si>
  <si>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</si>
  <si>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</si>
  <si>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</si>
  <si>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</si>
  <si>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</si>
  <si>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</si>
  <si>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</si>
  <si>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</si>
  <si>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</si>
  <si>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</si>
  <si>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</si>
  <si>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</si>
  <si>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</si>
  <si>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</si>
  <si>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</si>
  <si>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</si>
  <si>
    <t>DÉTECTION DES ALLERGÈNES POUR CARTES DE RESTAURANT</t>
  </si>
  <si>
    <t>ID</t>
  </si>
  <si>
    <t>Famille allergène</t>
  </si>
  <si>
    <t>Statut</t>
  </si>
  <si>
    <t>Terme métier / ingrédient</t>
  </si>
  <si>
    <t>Terme normalisé</t>
  </si>
  <si>
    <t>Métiers concernés</t>
  </si>
  <si>
    <t>Commentaire</t>
  </si>
  <si>
    <t>Source URL</t>
  </si>
  <si>
    <t>Version</t>
  </si>
  <si>
    <t>Saisir uniquement les cellules fond blanc en colonne B.                 * = allergène certain ;                                   ? = composition à contrôler.</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</si>
  <si>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</si>
  <si>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</si>
  <si>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</si>
  <si>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</si>
  <si>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</si>
  <si>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</si>
  <si>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</si>
  <si>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</si>
  <si>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</si>
  <si>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</si>
  <si>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</si>
  <si>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</si>
  <si>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Auteur : Joel Leboucher • Rochefort sur Mer | Version corrigée : 7 août 2026 | Document réalisé avec l'aide de ChatGPT |</t>
  </si>
  <si>
    <t>R0003</t>
  </si>
  <si>
    <t>avoine</t>
  </si>
  <si>
    <t>* = allergène détecté certain  |  ? = composition / allergène à vérifier  |  AFFICHAGE CARTE : un seul statut, jamais * ?</t>
  </si>
  <si>
    <t>Vin = Œufs*;Lait* voir explications ligne 103</t>
  </si>
  <si>
    <t>R0004</t>
  </si>
  <si>
    <t>baguette</t>
  </si>
  <si>
    <t>INTITULÉ DU PLAT / BOISSON / PRODUIT  Texte saisi ou à coller</t>
  </si>
  <si>
    <t>AFFICHAGE CARTE Texte à coller (collage spécial 1.2.3.Valeur)</t>
  </si>
  <si>
    <t>ALLERGÈNES CERTAINS Allergènes détectés (à coller)</t>
  </si>
  <si>
    <t>Crustacés</t>
  </si>
  <si>
    <t>Œufs</t>
  </si>
  <si>
    <t>Poissons</t>
  </si>
  <si>
    <t>Arachides</t>
  </si>
  <si>
    <t>Lait</t>
  </si>
  <si>
    <t>Fruits à coque</t>
  </si>
  <si>
    <t>Céleri</t>
  </si>
  <si>
    <t>Moutarde</t>
  </si>
  <si>
    <t>Sésame</t>
  </si>
  <si>
    <t>Sulfites</t>
  </si>
  <si>
    <t>Mollusques</t>
  </si>
  <si>
    <t>À VÉRIFIER</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</si>
  <si>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</si>
  <si>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</si>
  <si>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</si>
  <si>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</si>
  <si>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</si>
  <si>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</si>
  <si>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</si>
  <si>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</si>
  <si>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</si>
  <si>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</si>
  <si>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</si>
  <si>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</si>
  <si>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</si>
  <si>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</si>
  <si>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</si>
  <si>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</si>
  <si>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</si>
  <si>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</si>
  <si>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</si>
  <si>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</si>
  <si>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</si>
  <si>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</si>
  <si>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</si>
  <si>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</si>
  <si>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</si>
  <si>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</si>
  <si>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</si>
  <si>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</si>
  <si>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</si>
  <si>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</si>
  <si>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</si>
  <si>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</si>
  <si>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</si>
  <si>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</si>
  <si>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</si>
  <si>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</si>
  <si>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</si>
  <si>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</si>
  <si>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</si>
  <si>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</si>
  <si>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</si>
  <si>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</si>
  <si>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</si>
  <si>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</si>
  <si>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</si>
  <si>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</si>
  <si>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</si>
  <si>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</si>
  <si>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</si>
  <si>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</si>
  <si>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</si>
  <si>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</si>
  <si>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</si>
  <si>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</si>
  <si>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</si>
  <si>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</si>
  <si>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</si>
  <si>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</si>
  <si>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</si>
  <si>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</si>
  <si>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</si>
  <si>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Biche ou kangourou</t>
  </si>
  <si>
    <t>R0006</t>
  </si>
  <si>
    <t>bière</t>
  </si>
  <si>
    <t>biere</t>
  </si>
  <si>
    <t>Carottes en rondelles surgelées</t>
  </si>
  <si>
    <t>R0007</t>
  </si>
  <si>
    <t>bière blanche</t>
  </si>
  <si>
    <t>biere blanche</t>
  </si>
  <si>
    <t>Oignons émincés surgelés</t>
  </si>
  <si>
    <t>R0008</t>
  </si>
  <si>
    <t>bière blonde</t>
  </si>
  <si>
    <t>biere blonde</t>
  </si>
  <si>
    <t>Céleri-branche</t>
  </si>
  <si>
    <t>R0009</t>
  </si>
  <si>
    <t>bière brune</t>
  </si>
  <si>
    <t>biere brune</t>
  </si>
  <si>
    <t>Ail haché surgelé</t>
  </si>
  <si>
    <t>R0010</t>
  </si>
  <si>
    <t>biscotte</t>
  </si>
  <si>
    <t>Bouquet garni</t>
  </si>
  <si>
    <t>R0011</t>
  </si>
  <si>
    <t>biscottes</t>
  </si>
  <si>
    <t>Baies de genièvre</t>
  </si>
  <si>
    <t>R0012</t>
  </si>
  <si>
    <t>biscuit</t>
  </si>
  <si>
    <t>Vin rouge</t>
  </si>
  <si>
    <t>R0013</t>
  </si>
  <si>
    <t>biscuits</t>
  </si>
  <si>
    <t>Poivre en mignonnette</t>
  </si>
  <si>
    <t>R0014</t>
  </si>
  <si>
    <t>blé</t>
  </si>
  <si>
    <t>Échalotes ciselées surgelées</t>
  </si>
  <si>
    <t>R0015</t>
  </si>
  <si>
    <t>boulgour</t>
  </si>
  <si>
    <t>Carottes en dés surgelées</t>
  </si>
  <si>
    <t>R0016</t>
  </si>
  <si>
    <t>bread</t>
  </si>
  <si>
    <t>Marrons surgelés</t>
  </si>
  <si>
    <t>R0017</t>
  </si>
  <si>
    <t>breadcrumbs</t>
  </si>
  <si>
    <t>Fond brun de veau lié</t>
  </si>
  <si>
    <t>R0018</t>
  </si>
  <si>
    <t>bretzel</t>
  </si>
  <si>
    <t>Gelée de groseilles</t>
  </si>
  <si>
    <t>R0019</t>
  </si>
  <si>
    <t>bretzels</t>
  </si>
  <si>
    <t>Vinaigre de vin</t>
  </si>
  <si>
    <t>R0020</t>
  </si>
  <si>
    <t>brick</t>
  </si>
  <si>
    <t>Crème fraîche</t>
  </si>
  <si>
    <t>R0021</t>
  </si>
  <si>
    <t>brioche</t>
  </si>
  <si>
    <t>Sel</t>
  </si>
  <si>
    <t>R0022</t>
  </si>
  <si>
    <t>bulgur</t>
  </si>
  <si>
    <t>Beurre</t>
  </si>
  <si>
    <t>R0023</t>
  </si>
  <si>
    <t>cake</t>
  </si>
  <si>
    <t>Beurre ou margarine</t>
  </si>
  <si>
    <t>R0024</t>
  </si>
  <si>
    <t>cakes</t>
  </si>
  <si>
    <t>gelatine</t>
  </si>
  <si>
    <t>R0025</t>
  </si>
  <si>
    <t>chapelure</t>
  </si>
  <si>
    <t>TOMATE ET MOZARELLA AU BASILIC</t>
  </si>
  <si>
    <t>R0026</t>
  </si>
  <si>
    <t>choux pâtissier</t>
  </si>
  <si>
    <t>choux patissier</t>
  </si>
  <si>
    <t>Thon au naturel</t>
  </si>
  <si>
    <t>R0027</t>
  </si>
  <si>
    <t>cookie</t>
  </si>
  <si>
    <t>Boulghour fin</t>
  </si>
  <si>
    <t>R0028</t>
  </si>
  <si>
    <t>cookies</t>
  </si>
  <si>
    <t>sucre semoule</t>
  </si>
  <si>
    <t>R0029</t>
  </si>
  <si>
    <t>couscous</t>
  </si>
  <si>
    <t>R0030</t>
  </si>
  <si>
    <t>cracker</t>
  </si>
  <si>
    <t>Farine</t>
  </si>
  <si>
    <t>R0031</t>
  </si>
  <si>
    <t>crackers</t>
  </si>
  <si>
    <t>margarine</t>
  </si>
  <si>
    <t>R0032</t>
  </si>
  <si>
    <t>crêpe</t>
  </si>
  <si>
    <t>crepe</t>
  </si>
  <si>
    <t>Emmenthal râpé</t>
  </si>
  <si>
    <t>R0033</t>
  </si>
  <si>
    <t>crêpes</t>
  </si>
  <si>
    <t>crepes</t>
  </si>
  <si>
    <t>Parmesan.</t>
  </si>
  <si>
    <t>R0034</t>
  </si>
  <si>
    <t>croissant</t>
  </si>
  <si>
    <t>Œufs pasteurisés</t>
  </si>
  <si>
    <t>R0035</t>
  </si>
  <si>
    <t>croûton</t>
  </si>
  <si>
    <t>crouton</t>
  </si>
  <si>
    <t>Levure biologique</t>
  </si>
  <si>
    <t>R0036</t>
  </si>
  <si>
    <t>croûtons</t>
  </si>
  <si>
    <t>croutons</t>
  </si>
  <si>
    <t>R0037</t>
  </si>
  <si>
    <t>crumble</t>
  </si>
  <si>
    <t>R0038</t>
  </si>
  <si>
    <t>éclair</t>
  </si>
  <si>
    <t>eclair</t>
  </si>
  <si>
    <t>R0039</t>
  </si>
  <si>
    <t>éclairs</t>
  </si>
  <si>
    <t>eclairs</t>
  </si>
  <si>
    <t>R0040</t>
  </si>
  <si>
    <t>engrain</t>
  </si>
  <si>
    <t>R0041</t>
  </si>
  <si>
    <t>épeautre</t>
  </si>
  <si>
    <t>epeautre</t>
  </si>
  <si>
    <t>R0042</t>
  </si>
  <si>
    <t>extrait de malt</t>
  </si>
  <si>
    <t>R0043</t>
  </si>
  <si>
    <t>farine</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</si>
  <si>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</si>
  <si>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</si>
  <si>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</si>
  <si>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</si>
  <si>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</si>
  <si>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</si>
  <si>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</si>
  <si>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</si>
  <si>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</si>
  <si>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</si>
  <si>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</si>
  <si>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</si>
  <si>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</si>
  <si>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</si>
  <si>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</si>
  <si>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</si>
  <si>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</si>
  <si>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</si>
  <si>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</si>
  <si>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</si>
  <si>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</si>
  <si>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</si>
  <si>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</si>
  <si>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</si>
  <si>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</si>
  <si>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</si>
  <si>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</si>
  <si>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</si>
  <si>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</si>
  <si>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</si>
  <si>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</si>
  <si>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</si>
  <si>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</si>
  <si>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</si>
  <si>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</si>
  <si>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</si>
  <si>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</si>
  <si>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</si>
  <si>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</si>
  <si>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</si>
  <si>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</si>
  <si>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</si>
  <si>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</si>
  <si>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</si>
  <si>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</si>
  <si>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</si>
  <si>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</si>
  <si>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</si>
  <si>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</si>
  <si>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</si>
  <si>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</si>
  <si>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</si>
  <si>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</si>
  <si>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</si>
  <si>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</si>
  <si>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</si>
  <si>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</si>
  <si>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</si>
  <si>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</si>
  <si>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</si>
  <si>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</si>
  <si>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</si>
  <si>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</si>
  <si>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</si>
  <si>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</si>
  <si>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</si>
  <si>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</si>
  <si>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</si>
  <si>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</si>
  <si>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</si>
  <si>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</si>
  <si>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</si>
  <si>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</si>
  <si>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</si>
  <si>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</si>
  <si>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</si>
  <si>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</si>
  <si>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</si>
  <si>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</si>
  <si>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</si>
  <si>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</si>
  <si>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</si>
  <si>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</si>
  <si>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</si>
  <si>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</si>
  <si>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</si>
  <si>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</si>
  <si>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</si>
  <si>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</si>
  <si>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</si>
  <si>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</si>
  <si>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</si>
  <si>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</si>
  <si>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</si>
  <si>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</si>
  <si>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</si>
  <si>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</si>
  <si>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</si>
  <si>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</si>
  <si>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</si>
  <si>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</si>
  <si>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</si>
  <si>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</si>
  <si>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</si>
  <si>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</si>
  <si>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</si>
  <si>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</si>
  <si>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</si>
  <si>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</si>
  <si>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</si>
  <si>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</si>
  <si>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</si>
  <si>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</si>
  <si>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</si>
  <si>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</si>
  <si>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</si>
  <si>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</si>
  <si>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</si>
  <si>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</si>
  <si>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</si>
  <si>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</si>
  <si>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</si>
  <si>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</si>
  <si>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</si>
  <si>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</si>
  <si>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</si>
  <si>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</si>
  <si>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</si>
  <si>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</si>
  <si>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</si>
  <si>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</si>
  <si>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</si>
  <si>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</si>
  <si>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</si>
  <si>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</si>
  <si>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</si>
  <si>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</si>
  <si>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</si>
  <si>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</si>
  <si>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</si>
  <si>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</si>
  <si>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</si>
  <si>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</si>
  <si>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</si>
  <si>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</si>
  <si>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</si>
  <si>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</si>
  <si>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</si>
  <si>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</si>
  <si>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</si>
  <si>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</si>
  <si>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</si>
  <si>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MODE D’EMPLOI — LECTURE DES ALLERGÈNES</t>
  </si>
  <si>
    <t>R0094</t>
  </si>
  <si>
    <t>panko</t>
  </si>
  <si>
    <t>Zone de saisie</t>
  </si>
  <si>
    <t>B7:B66 : saisir la dénomination réelle du produit ou de l’ingrédient utilisé.</t>
  </si>
  <si>
    <t>R0095</t>
  </si>
  <si>
    <t>panure</t>
  </si>
  <si>
    <t>Résultat carte</t>
  </si>
  <si>
    <t>C7:C66 : le nom est repris avec un seul statut final : * ou ?.</t>
  </si>
  <si>
    <t>R0096</t>
  </si>
  <si>
    <t>pasta</t>
  </si>
  <si>
    <t>Allergènes certains</t>
  </si>
  <si>
    <t>Les colonnes de détection E:R marquent X lorsqu’un allergène est identifié comme certain.</t>
  </si>
  <si>
    <t>R0097</t>
  </si>
  <si>
    <t>pâte à choux</t>
  </si>
  <si>
    <t>pate a choux</t>
  </si>
  <si>
    <t>À vérifier</t>
  </si>
  <si>
    <t>La colonne S liste les familles qui restent à contrôler sur l’étiquette ou la fiche technique.</t>
  </si>
  <si>
    <t>R0098</t>
  </si>
  <si>
    <t>pâte à pizza</t>
  </si>
  <si>
    <t>pate a pizza</t>
  </si>
  <si>
    <t>Règle des symboles</t>
  </si>
  <si>
    <t>* = allergène certain. ? = composition ou présence à vérifier. Un produit ne doit jamais afficher « * ? ».</t>
  </si>
  <si>
    <t>R0099</t>
  </si>
  <si>
    <t>pâte alimentaire</t>
  </si>
  <si>
    <t>pate alimentaire</t>
  </si>
  <si>
    <t>Principe de décision</t>
  </si>
  <si>
    <t>S’il existe au moins un allergène certain, l’affichage final est *. S’il n’y a aucun allergène certain mais qu’un doute subsiste, l’affichage est ?.</t>
  </si>
  <si>
    <t>R0100</t>
  </si>
  <si>
    <t>pâte brisée</t>
  </si>
  <si>
    <t>pate brisee</t>
  </si>
  <si>
    <t>R0101</t>
  </si>
  <si>
    <t>pâte feuilletée</t>
  </si>
  <si>
    <t>pate feuilletee</t>
  </si>
  <si>
    <t>POURQUOI PEUT-IL Y AVOIR DE L’ŒUF OU DU LAIT DANS LE VIN ?</t>
  </si>
  <si>
    <t>R0102</t>
  </si>
  <si>
    <t>pâte filo</t>
  </si>
  <si>
    <t>pate filo</t>
  </si>
  <si>
    <t>Ce n’est pas un ingrédient de recette</t>
  </si>
  <si>
    <t>Tous les vins ne contiennent pas d’œuf ou de lait. Ces substances peuvent être utilisées comme auxiliaires technologiques pendant certains traitements œnologiques.</t>
  </si>
  <si>
    <t>R0103</t>
  </si>
  <si>
    <t>pâte fraîche</t>
  </si>
  <si>
    <t>pate fraiche</t>
  </si>
  <si>
    <t>Œuf</t>
  </si>
  <si>
    <t>L’albumine ou le blanc d’œuf peuvent servir au collage/à la clarification. Le lysozyme, dérivé de l’œuf, peut également être utilisé dans certains traitements œnologiques.</t>
  </si>
  <si>
    <t>R0104</t>
  </si>
  <si>
    <t>pâte sablée</t>
  </si>
  <si>
    <t>pate sablee</t>
  </si>
  <si>
    <t>La caséine, les caséinates ou d’autres protéines du lait peuvent être utilisés comme agents de collage pour clarifier le vin ou corriger certains défauts.</t>
  </si>
  <si>
    <t>R0105</t>
  </si>
  <si>
    <t>pâtes alimentaires</t>
  </si>
  <si>
    <t>pates alimentaires</t>
  </si>
  <si>
    <t>Après le traitement</t>
  </si>
  <si>
    <t>Ces auxiliaires sont normalement éliminés autant que possible. Leur emploi ne signifie donc pas automatiquement que le vin fini contient encore de l’œuf ou du lait.</t>
  </si>
  <si>
    <t>R0106</t>
  </si>
  <si>
    <t>petit épeautre</t>
  </si>
  <si>
    <t>petit epeautre</t>
  </si>
  <si>
    <t>Obligation d’étiquetage</t>
  </si>
  <si>
    <t>Si des substances provenant de l’œuf ou du lait restent détectables dans le vin fini, leur présence doit être indiquée sur l’étiquette.</t>
  </si>
  <si>
    <t>R0107</t>
  </si>
  <si>
    <t>pita</t>
  </si>
  <si>
    <t>Les sulfites doivent être déclarés lorsqu’ils dépassent 10 mg/L, exprimés en SO₂.</t>
  </si>
  <si>
    <t>R0108</t>
  </si>
  <si>
    <t>pizza</t>
  </si>
  <si>
    <t>Conséquence dans ce document</t>
  </si>
  <si>
    <t>Pour un libellé générique comme « vin rouge » ou « vin blanc », le ? signifie : vérifier la bouteille ou la fiche technique. Si l’étiquette indique « contient des sulfites », « œuf » ou « lait », l’allergène concerné devient certain (*) pour le produit réellement utilisé.</t>
  </si>
  <si>
    <t>R0109</t>
  </si>
  <si>
    <t>porter</t>
  </si>
  <si>
    <t>Vin utilisé en cuisine</t>
  </si>
  <si>
    <t>La cuisson ne remplace pas le contrôle de l’étiquette : la déclaration des allergènes se fonde sur la composition du produit mis en œuvre.</t>
  </si>
  <si>
    <t>R0110</t>
  </si>
  <si>
    <t>pretzel</t>
  </si>
  <si>
    <t>SOURCES OFFICIELLES</t>
  </si>
  <si>
    <t>R0152</t>
  </si>
  <si>
    <t>EXCL</t>
  </si>
  <si>
    <t>cake tin</t>
  </si>
  <si>
    <t>Exclusion métier destinée à éviter un faux positif.</t>
  </si>
  <si>
    <t>DGCCRF — Étiquetage des vins</t>
  </si>
  <si>
    <t>https://www.economie.gouv.fr/dgccrf/les-fiches-pratiques/etiquetage-des-vins-savoir-lire-les-etiquettes</t>
  </si>
  <si>
    <t>R0153</t>
  </si>
  <si>
    <t>eau de vie</t>
  </si>
  <si>
    <t>Évite un faux positif ou correspond à une exception réglementaire.</t>
  </si>
  <si>
    <t>DGCCRF — Guide produits vitivinicoles</t>
  </si>
  <si>
    <t>https://www.economie.gouv.fr/files/files/directions_services/dgccrf/media-document/guide-dgccrf-regles-etiquetage-vitivinicoles-professionnels.pdf</t>
  </si>
  <si>
    <t>R0154</t>
  </si>
  <si>
    <t>farine d amande</t>
  </si>
  <si>
    <t>Règlement (UE) n°1169/2011 — Annexe II</t>
  </si>
  <si>
    <t>R0155</t>
  </si>
  <si>
    <t>farine de châtaigne</t>
  </si>
  <si>
    <t>farine de chataigne</t>
  </si>
  <si>
    <t>R0111</t>
  </si>
  <si>
    <t>pretzels</t>
  </si>
  <si>
    <t>EXEMPLES DE LECTURE</t>
  </si>
  <si>
    <t>R0112</t>
  </si>
  <si>
    <t>profiterole</t>
  </si>
  <si>
    <t>Lait certain → Beurre *.</t>
  </si>
  <si>
    <t>R0113</t>
  </si>
  <si>
    <t>profiteroles</t>
  </si>
  <si>
    <t>Gluten certain dans la règle actuelle du moteur → Farine *.</t>
  </si>
  <si>
    <t>R0114</t>
  </si>
  <si>
    <t>protéine de blé</t>
  </si>
  <si>
    <t>proteine de ble</t>
  </si>
  <si>
    <t>La mozzarella contient du lait → produit *.</t>
  </si>
  <si>
    <t>R0115</t>
  </si>
  <si>
    <t>protéines de blé</t>
  </si>
  <si>
    <t>proteines de ble</t>
  </si>
  <si>
    <t>Céleri certain → Céleri-branche *.</t>
  </si>
  <si>
    <t>R0116</t>
  </si>
  <si>
    <t>quatre quarts</t>
  </si>
  <si>
    <t>Composition variable selon la recette ou le fabricant → ? tant que la fiche technique n’a pas confirmé les allergènes. Après contrôle, les allergènes réellement présents doivent être considérés comme certains (*).</t>
  </si>
  <si>
    <t>R0117</t>
  </si>
  <si>
    <t>quiche</t>
  </si>
  <si>
    <t>Margarine</t>
  </si>
  <si>
    <t>Composition variable selon la marque : elle peut notamment contenir du lait ou du soja → ? tant que l’étiquette n’est pas contrôlée.</t>
  </si>
  <si>
    <t>R0118</t>
  </si>
  <si>
    <t>ravioli</t>
  </si>
  <si>
    <t>Dans la base actuelle, il est classé * pour les sulfites. En pratique, ce statut doit correspondre au produit réellement utilisé : si l’étiquette ou la fiche technique confirme les sulfites, * ; sinon la règle doit être réévaluée.</t>
  </si>
  <si>
    <t>R0119</t>
  </si>
  <si>
    <t>raviolis</t>
  </si>
  <si>
    <t>R0120</t>
  </si>
  <si>
    <t>rye</t>
  </si>
  <si>
    <t>LES 14 ALLERGÈNES RÉGLEMENTAIRES</t>
  </si>
  <si>
    <t>R0121</t>
  </si>
  <si>
    <t>seigle</t>
  </si>
  <si>
    <t>1.</t>
  </si>
  <si>
    <t>R0122</t>
  </si>
  <si>
    <t>2.</t>
  </si>
  <si>
    <t>R0123</t>
  </si>
  <si>
    <t>3.</t>
  </si>
  <si>
    <t>R0124</t>
  </si>
  <si>
    <t>semoule de blé</t>
  </si>
  <si>
    <t>semoule de ble</t>
  </si>
  <si>
    <t>4.</t>
  </si>
  <si>
    <t>R0125</t>
  </si>
  <si>
    <t>semoule de couscous</t>
  </si>
  <si>
    <t>5.</t>
  </si>
  <si>
    <t>R0126</t>
  </si>
  <si>
    <t>semoule fine</t>
  </si>
  <si>
    <t>6.</t>
  </si>
  <si>
    <t>R0127</t>
  </si>
  <si>
    <t>sirop de malt</t>
  </si>
  <si>
    <t>7.</t>
  </si>
  <si>
    <t>R0128</t>
  </si>
  <si>
    <t>son de blé</t>
  </si>
  <si>
    <t>son de ble</t>
  </si>
  <si>
    <t>8.</t>
  </si>
  <si>
    <t>R0129</t>
  </si>
  <si>
    <t>spaghetti</t>
  </si>
  <si>
    <t>9.</t>
  </si>
  <si>
    <t>R0130</t>
  </si>
  <si>
    <t>spelt</t>
  </si>
  <si>
    <t>10.</t>
  </si>
  <si>
    <t>R0131</t>
  </si>
  <si>
    <t>stout</t>
  </si>
  <si>
    <t>11.</t>
  </si>
  <si>
    <t>Graines de sésame</t>
  </si>
  <si>
    <t>R0132</t>
  </si>
  <si>
    <t>tagliatelle</t>
  </si>
  <si>
    <t>12.</t>
  </si>
  <si>
    <t>Anhydride sulfureux et sulfites</t>
  </si>
  <si>
    <t>R0133</t>
  </si>
  <si>
    <t>tarte salée</t>
  </si>
  <si>
    <t>tarte salee</t>
  </si>
  <si>
    <t>13.</t>
  </si>
  <si>
    <t>R0134</t>
  </si>
  <si>
    <t>tartelette</t>
  </si>
  <si>
    <t>14.</t>
  </si>
  <si>
    <t>R0135</t>
  </si>
  <si>
    <t>tartelettes</t>
  </si>
  <si>
    <t>R0136</t>
  </si>
  <si>
    <t>tempura</t>
  </si>
  <si>
    <t>CAS À NE PAS CONFONDRE</t>
  </si>
  <si>
    <t>R0137</t>
  </si>
  <si>
    <t>tortellini</t>
  </si>
  <si>
    <t>Lait de coco</t>
  </si>
  <si>
    <t>Le mot « lait » ne signifie pas allergène lait : le lait de coco n’est pas un produit laitier.</t>
  </si>
  <si>
    <t>R0138</t>
  </si>
  <si>
    <t>tortilla de blé</t>
  </si>
  <si>
    <t>tortilla de ble</t>
  </si>
  <si>
    <t>Noix de Saint-Jacques</t>
  </si>
  <si>
    <t>C’est un mollusque ; le mot « noix » ne doit pas déclencher les fruits à coque.</t>
  </si>
  <si>
    <t>R0139</t>
  </si>
  <si>
    <t>tourte</t>
  </si>
  <si>
    <t>Maltodextrine de blé</t>
  </si>
  <si>
    <t>La maltodextrine à base de blé fait partie des dérivés bénéficiant d’une exception spécifique à l’étiquetage des allergènes dans le règlement européen ; elle ne doit pas être assimilée automatiquement à une farine de blé.</t>
  </si>
  <si>
    <t>R0140</t>
  </si>
  <si>
    <t>triticale</t>
  </si>
  <si>
    <t>Poire / poiré</t>
  </si>
  <si>
    <t>Une poire fraîche ne doit pas déclencher les sulfites. Le poiré est une boisson : sa composition et la présence éventuelle de sulfites doivent être vérifiées sur l’étiquette.</t>
  </si>
  <si>
    <t>R0141</t>
  </si>
  <si>
    <t>vermicelle</t>
  </si>
  <si>
    <t>Libellé avec « ou »</t>
  </si>
  <si>
    <t>Exemple « beurre ou margarine » : pour une déclaration finale fiable, remplacer le choix par le produit réellement utilisé. Deux produits alternatifs peuvent avoir des profils allergènes différents.</t>
  </si>
  <si>
    <t>R0142</t>
  </si>
  <si>
    <t>viennoiserie</t>
  </si>
  <si>
    <t>R0156</t>
  </si>
  <si>
    <t>farine de coco</t>
  </si>
  <si>
    <t>MÉTHODE DE CONTRÔLE PROFESSIONNEL</t>
  </si>
  <si>
    <t>R0144</t>
  </si>
  <si>
    <t>wheat flour</t>
  </si>
  <si>
    <t>Saisir le nom exact du produit utilisé, pas une famille trop vague si l’information est disponible.</t>
  </si>
  <si>
    <t>R0145</t>
  </si>
  <si>
    <t>wrap</t>
  </si>
  <si>
    <t>Lire l’étiquette et/ou la fiche technique du fournisseur pour les produits composés.</t>
  </si>
  <si>
    <t>R0146</t>
  </si>
  <si>
    <t>wraps</t>
  </si>
  <si>
    <t>Allergène confirmé → *.</t>
  </si>
  <si>
    <t>R0147</t>
  </si>
  <si>
    <t>bière sans gluten</t>
  </si>
  <si>
    <t>biere sans gluten</t>
  </si>
  <si>
    <t>Aucun allergène confirmé mais composition incertaine ou variable → ?.</t>
  </si>
  <si>
    <t>R0148</t>
  </si>
  <si>
    <t>biscuit sans gluten</t>
  </si>
  <si>
    <t>Ne jamais conserver « * ? » : le statut final doit être unique et compréhensible.</t>
  </si>
  <si>
    <t>R0149</t>
  </si>
  <si>
    <t>bread tin</t>
  </si>
  <si>
    <t>Pour les produits industriels (fonds, sauces, margarines, préparations, alcools), la fiche technique prime sur une supposition fondée uniquement sur le nom.</t>
  </si>
  <si>
    <t>R0150</t>
  </si>
  <si>
    <t>cake mold</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</si>
  <si>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</si>
  <si>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</si>
  <si>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</si>
  <si>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</si>
  <si>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</si>
  <si>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</si>
  <si>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</si>
  <si>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</si>
  <si>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</si>
  <si>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</si>
  <si>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</si>
  <si>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</si>
  <si>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</si>
  <si>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</si>
  <si>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</si>
  <si>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</si>
  <si>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</si>
  <si>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</si>
  <si>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</si>
  <si>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</si>
  <si>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</si>
  <si>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</si>
  <si>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</si>
  <si>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</si>
  <si>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</si>
  <si>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</si>
  <si>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</si>
  <si>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</si>
  <si>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</si>
  <si>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</si>
  <si>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</si>
  <si>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</si>
  <si>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</si>
  <si>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</si>
  <si>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</si>
  <si>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</si>
  <si>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</si>
  <si>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</si>
  <si>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</si>
  <si>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</si>
  <si>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</si>
  <si>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</si>
  <si>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</si>
  <si>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</si>
  <si>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</si>
  <si>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</si>
  <si>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</si>
  <si>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</si>
  <si>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</si>
  <si>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</si>
  <si>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</si>
  <si>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</si>
  <si>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</si>
  <si>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</si>
  <si>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</si>
  <si>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</si>
  <si>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</si>
  <si>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</si>
  <si>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</si>
  <si>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</si>
  <si>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</si>
  <si>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</si>
  <si>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</si>
  <si>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</si>
  <si>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</si>
  <si>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</si>
  <si>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</si>
  <si>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</si>
  <si>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</si>
  <si>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</si>
  <si>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</si>
  <si>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</si>
  <si>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</si>
  <si>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</si>
  <si>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</si>
  <si>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</si>
  <si>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</si>
  <si>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</si>
  <si>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</si>
  <si>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</si>
  <si>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</si>
  <si>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</si>
  <si>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</si>
  <si>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</si>
  <si>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</si>
  <si>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</si>
  <si>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</si>
  <si>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</si>
  <si>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</si>
  <si>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</si>
  <si>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</si>
  <si>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</si>
  <si>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</si>
  <si>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</si>
  <si>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</si>
  <si>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</si>
  <si>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</si>
  <si>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</si>
  <si>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</si>
  <si>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</si>
  <si>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</si>
  <si>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</si>
  <si>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</si>
  <si>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</si>
  <si>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</si>
  <si>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</si>
  <si>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</si>
  <si>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</si>
  <si>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</si>
  <si>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</si>
  <si>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</si>
  <si>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</si>
  <si>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</si>
  <si>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</si>
  <si>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</si>
  <si>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</si>
  <si>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</si>
  <si>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</si>
  <si>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</si>
  <si>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</si>
  <si>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</si>
  <si>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</si>
  <si>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</si>
  <si>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</si>
  <si>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</si>
  <si>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</si>
  <si>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</si>
  <si>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</si>
  <si>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</si>
  <si>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</si>
  <si>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</si>
  <si>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</si>
  <si>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</si>
  <si>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</si>
  <si>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</si>
  <si>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</si>
  <si>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</si>
  <si>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</si>
  <si>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</si>
  <si>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</si>
  <si>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</si>
  <si>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</si>
  <si>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</si>
  <si>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</si>
  <si>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</si>
  <si>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</si>
  <si>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</si>
  <si>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</si>
  <si>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</si>
  <si>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</si>
  <si>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</si>
  <si>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</si>
  <si>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</si>
  <si>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</si>
  <si>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</si>
  <si>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</si>
  <si>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</si>
  <si>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</si>
  <si>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</si>
  <si>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</si>
  <si>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</si>
  <si>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</si>
  <si>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</si>
  <si>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</si>
  <si>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</si>
  <si>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</si>
  <si>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</si>
  <si>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</si>
  <si>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</si>
  <si>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</si>
  <si>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</si>
  <si>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</si>
  <si>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</si>
  <si>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</si>
  <si>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</si>
  <si>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</si>
  <si>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</si>
  <si>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</si>
  <si>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</si>
  <si>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</si>
  <si>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</si>
  <si>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</si>
  <si>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</si>
  <si>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</si>
  <si>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</si>
  <si>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</si>
  <si>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</si>
  <si>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</si>
  <si>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</si>
  <si>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</si>
  <si>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</si>
  <si>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</si>
  <si>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</si>
  <si>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</si>
  <si>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</si>
  <si>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</si>
  <si>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</si>
  <si>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</si>
  <si>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</si>
  <si>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</si>
  <si>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</si>
  <si>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</si>
  <si>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</si>
  <si>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</si>
  <si>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</si>
  <si>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</si>
  <si>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</si>
  <si>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</si>
  <si>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</si>
  <si>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</si>
  <si>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</si>
  <si>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</si>
  <si>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</si>
  <si>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</si>
  <si>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</si>
  <si>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</si>
  <si>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</si>
  <si>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</si>
  <si>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</si>
  <si>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</si>
  <si>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</si>
  <si>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</si>
  <si>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</si>
  <si>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</si>
  <si>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</si>
  <si>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</si>
  <si>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</si>
  <si>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</si>
  <si>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</si>
  <si>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</si>
  <si>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</si>
  <si>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</si>
  <si>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</si>
  <si>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</si>
  <si>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</si>
  <si>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</si>
  <si>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</si>
  <si>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</si>
  <si>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</si>
  <si>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</si>
  <si>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</si>
  <si>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</si>
  <si>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</si>
  <si>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</si>
  <si>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</si>
  <si>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</si>
  <si>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</si>
  <si>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</si>
  <si>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</si>
  <si>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</si>
  <si>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</si>
  <si>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</si>
  <si>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</si>
  <si>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</si>
  <si>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</si>
  <si>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</si>
  <si>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</si>
  <si>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</si>
  <si>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</si>
  <si>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</si>
  <si>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</si>
  <si>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</si>
  <si>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</si>
  <si>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</si>
  <si>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</si>
  <si>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</si>
  <si>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</si>
  <si>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</si>
  <si>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</si>
  <si>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</si>
  <si>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</si>
  <si>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</si>
  <si>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</si>
  <si>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</si>
  <si>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</si>
  <si>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</si>
  <si>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</si>
  <si>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</si>
  <si>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</si>
  <si>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</si>
  <si>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</si>
  <si>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</si>
  <si>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</si>
  <si>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</si>
  <si>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</si>
  <si>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</si>
  <si>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</si>
  <si>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</si>
  <si>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</si>
  <si>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</si>
  <si>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</si>
  <si>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</si>
  <si>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</si>
  <si>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</si>
  <si>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</si>
  <si>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</si>
  <si>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</si>
  <si>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</si>
  <si>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</si>
  <si>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</si>
  <si>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</si>
  <si>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</si>
  <si>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</si>
  <si>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</si>
  <si>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</si>
  <si>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</si>
  <si>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</si>
  <si>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</si>
  <si>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</si>
  <si>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</si>
  <si>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</si>
  <si>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</si>
  <si>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</si>
  <si>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</si>
  <si>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</si>
  <si>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</si>
  <si>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</si>
  <si>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</si>
  <si>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</si>
  <si>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</si>
  <si>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</si>
  <si>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</si>
  <si>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</si>
  <si>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</si>
  <si>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</si>
  <si>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</si>
  <si>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</si>
  <si>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</si>
  <si>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</si>
  <si>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</si>
  <si>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</si>
  <si>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</si>
  <si>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</si>
  <si>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</si>
  <si>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</si>
  <si>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</si>
  <si>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</si>
  <si>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</si>
  <si>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</si>
  <si>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</si>
  <si>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</si>
  <si>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</si>
  <si>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</si>
  <si>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</si>
  <si>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</si>
  <si>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</si>
  <si>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</si>
  <si>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</si>
  <si>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</si>
  <si>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</si>
  <si>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</si>
  <si>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</si>
  <si>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</si>
  <si>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</si>
  <si>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</si>
  <si>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</si>
  <si>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</si>
  <si>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</si>
  <si>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</si>
  <si>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</si>
  <si>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</si>
  <si>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</si>
  <si>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</si>
  <si>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</si>
  <si>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</si>
  <si>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</si>
  <si>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</si>
  <si>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</si>
  <si>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</si>
  <si>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</si>
  <si>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</si>
  <si>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</si>
  <si>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</si>
  <si>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</si>
  <si>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</si>
  <si>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</si>
  <si>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</si>
  <si>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</si>
  <si>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</si>
  <si>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</si>
  <si>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</si>
  <si>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</si>
  <si>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</si>
  <si>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</si>
  <si>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</si>
  <si>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</si>
  <si>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</si>
  <si>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</si>
  <si>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</si>
  <si>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</si>
  <si>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</si>
  <si>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</si>
  <si>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</si>
  <si>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</si>
  <si>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</si>
  <si>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</si>
  <si>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</si>
  <si>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</si>
  <si>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</si>
  <si>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</si>
  <si>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</si>
  <si>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</si>
  <si>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</si>
  <si>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</si>
  <si>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</si>
  <si>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</si>
  <si>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</si>
  <si>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</si>
  <si>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</si>
  <si>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</si>
  <si>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</si>
  <si>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</si>
  <si>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</si>
  <si>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</si>
  <si>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</si>
  <si>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</si>
  <si>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</si>
  <si>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</si>
  <si>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</si>
  <si>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</si>
  <si>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</si>
  <si>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</si>
  <si>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</si>
  <si>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</si>
  <si>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</si>
  <si>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</si>
  <si>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</si>
  <si>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</si>
  <si>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</si>
  <si>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</si>
  <si>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</si>
  <si>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</si>
  <si>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</si>
  <si>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</si>
  <si>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</si>
  <si>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</si>
  <si>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</si>
  <si>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</si>
  <si>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</si>
  <si>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</si>
  <si>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</si>
  <si>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</si>
  <si>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</si>
  <si>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</si>
  <si>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</si>
  <si>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</si>
  <si>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</si>
  <si>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</si>
  <si>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</si>
  <si>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</si>
  <si>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</si>
  <si>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</si>
  <si>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</si>
  <si>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</si>
  <si>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</si>
  <si>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</si>
  <si>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</si>
  <si>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</si>
  <si>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</si>
  <si>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</si>
  <si>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</si>
  <si>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</si>
  <si>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</si>
  <si>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</si>
  <si>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</si>
  <si>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</si>
  <si>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</si>
  <si>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</si>
  <si>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</si>
  <si>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</si>
  <si>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</si>
  <si>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</si>
  <si>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</si>
  <si>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mayonnaise</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</si>
  <si>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</si>
  <si>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</si>
  <si>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</si>
  <si>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</si>
  <si>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</si>
  <si>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</si>
  <si>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</si>
  <si>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</si>
  <si>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</si>
  <si>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</si>
  <si>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</si>
  <si>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</si>
  <si>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</si>
  <si>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</si>
  <si>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</si>
  <si>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</si>
  <si>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</si>
  <si>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</si>
  <si>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</si>
  <si>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</si>
  <si>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</si>
  <si>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</si>
  <si>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</si>
  <si>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</si>
  <si>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</si>
  <si>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</si>
  <si>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</si>
  <si>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</si>
  <si>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</si>
  <si>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</si>
  <si>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</si>
  <si>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</si>
  <si>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</si>
  <si>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</si>
  <si>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</si>
  <si>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</si>
  <si>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</si>
  <si>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</si>
  <si>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</si>
  <si>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</si>
  <si>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</si>
  <si>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</si>
  <si>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</si>
  <si>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</si>
  <si>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</si>
  <si>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</si>
  <si>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</si>
  <si>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</si>
  <si>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</si>
  <si>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</si>
  <si>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</si>
  <si>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</si>
  <si>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</si>
  <si>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</si>
  <si>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</si>
  <si>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</si>
  <si>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</si>
  <si>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</si>
  <si>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</si>
  <si>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</si>
  <si>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</si>
  <si>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</si>
  <si>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</si>
  <si>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</si>
  <si>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</si>
  <si>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</si>
  <si>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</si>
  <si>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</si>
  <si>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</si>
  <si>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</si>
  <si>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</si>
  <si>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</si>
  <si>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</si>
  <si>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</si>
  <si>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</si>
  <si>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</si>
  <si>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</si>
  <si>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</si>
  <si>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</si>
  <si>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</si>
  <si>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</si>
  <si>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</si>
  <si>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</si>
  <si>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</si>
  <si>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</si>
  <si>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</si>
  <si>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</si>
  <si>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</si>
  <si>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</si>
  <si>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</si>
  <si>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</si>
  <si>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</si>
  <si>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</si>
  <si>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</si>
  <si>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</si>
  <si>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</si>
  <si>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</si>
  <si>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</si>
  <si>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</si>
  <si>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</si>
  <si>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</si>
  <si>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</si>
  <si>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</si>
  <si>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</si>
  <si>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</si>
  <si>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</si>
  <si>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</si>
  <si>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</si>
  <si>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</si>
  <si>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</si>
  <si>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</si>
  <si>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</si>
  <si>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</si>
  <si>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</si>
  <si>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</si>
  <si>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</si>
  <si>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</si>
  <si>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</si>
  <si>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</si>
  <si>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</si>
  <si>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</si>
  <si>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</si>
  <si>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</si>
  <si>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</si>
  <si>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</si>
  <si>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</si>
  <si>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</si>
  <si>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</si>
  <si>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</si>
  <si>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</si>
  <si>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</si>
  <si>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</si>
  <si>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</si>
  <si>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</si>
  <si>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</si>
  <si>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</si>
  <si>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</si>
  <si>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</si>
  <si>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</si>
  <si>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</si>
  <si>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</si>
  <si>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</si>
  <si>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</si>
  <si>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</si>
  <si>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</si>
  <si>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</si>
  <si>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</si>
  <si>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</si>
  <si>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</si>
  <si>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</si>
  <si>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</si>
  <si>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</si>
  <si>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</si>
  <si>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</si>
  <si>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</si>
  <si>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</si>
  <si>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</si>
  <si>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</si>
  <si>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</si>
  <si>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</si>
  <si>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</si>
  <si>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</si>
  <si>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</si>
  <si>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</si>
  <si>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</si>
  <si>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</si>
  <si>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</si>
  <si>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</si>
  <si>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</si>
  <si>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</si>
  <si>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</si>
  <si>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</si>
  <si>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</si>
  <si>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</si>
  <si>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</si>
  <si>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</si>
  <si>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</si>
  <si>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</si>
  <si>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</si>
  <si>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</si>
  <si>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</si>
  <si>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</si>
  <si>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</si>
  <si>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</si>
  <si>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</si>
  <si>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</si>
  <si>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</si>
  <si>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</si>
  <si>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</si>
  <si>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</si>
  <si>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</si>
  <si>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</si>
  <si>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</si>
  <si>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</si>
  <si>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</si>
  <si>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</si>
  <si>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</si>
  <si>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</si>
  <si>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</si>
  <si>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</si>
  <si>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</si>
  <si>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</si>
  <si>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</si>
  <si>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</si>
  <si>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</si>
  <si>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</si>
  <si>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</si>
  <si>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</si>
  <si>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</si>
  <si>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</si>
  <si>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</si>
  <si>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</si>
  <si>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</si>
  <si>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</si>
  <si>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</si>
  <si>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</si>
  <si>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</si>
  <si>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</si>
  <si>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</si>
  <si>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</si>
  <si>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</si>
  <si>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</si>
  <si>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</si>
  <si>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</si>
  <si>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</si>
  <si>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</si>
  <si>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</si>
  <si>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</si>
  <si>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</si>
  <si>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</si>
  <si>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</si>
  <si>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</si>
  <si>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</si>
  <si>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</si>
  <si>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</si>
  <si>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</si>
  <si>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</si>
  <si>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</si>
  <si>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</si>
  <si>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</si>
  <si>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</si>
  <si>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</si>
  <si>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</si>
  <si>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</si>
  <si>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</si>
  <si>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</si>
  <si>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</si>
  <si>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</si>
  <si>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</si>
  <si>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</si>
  <si>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</si>
  <si>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</si>
  <si>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</si>
  <si>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</si>
  <si>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</si>
  <si>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</si>
  <si>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</si>
  <si>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</si>
  <si>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</si>
  <si>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</si>
  <si>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</si>
  <si>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</si>
  <si>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</si>
  <si>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</si>
  <si>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</si>
  <si>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</si>
  <si>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</si>
  <si>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</si>
  <si>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</si>
  <si>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</si>
  <si>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</si>
  <si>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</si>
  <si>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</si>
  <si>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</si>
  <si>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</si>
  <si>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</si>
  <si>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</si>
  <si>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</si>
  <si>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</si>
  <si>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</si>
  <si>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</si>
  <si>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</si>
  <si>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</si>
  <si>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</si>
  <si>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</si>
  <si>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</si>
  <si>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</si>
  <si>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</si>
  <si>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</si>
  <si>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</si>
  <si>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</si>
  <si>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</si>
  <si>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</si>
  <si>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</si>
  <si>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</si>
  <si>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</si>
  <si>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</si>
  <si>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</si>
  <si>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</si>
  <si>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</si>
  <si>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</si>
  <si>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</si>
  <si>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</si>
  <si>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</si>
  <si>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</si>
  <si>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</si>
  <si>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</si>
  <si>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</si>
  <si>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</si>
  <si>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</si>
  <si>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</si>
  <si>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</si>
  <si>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</si>
  <si>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</si>
  <si>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</si>
  <si>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</si>
  <si>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</si>
  <si>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</si>
  <si>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</si>
  <si>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</si>
  <si>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</si>
  <si>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</si>
  <si>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</si>
  <si>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</si>
  <si>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</si>
  <si>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</si>
  <si>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</si>
  <si>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</si>
  <si>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</si>
  <si>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</si>
  <si>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</si>
  <si>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</si>
  <si>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</si>
  <si>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</si>
  <si>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</si>
  <si>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</si>
  <si>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</si>
  <si>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</si>
  <si>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</si>
  <si>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</si>
  <si>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</si>
  <si>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</si>
  <si>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</si>
  <si>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</si>
  <si>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</si>
  <si>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</si>
  <si>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</si>
  <si>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</si>
  <si>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</si>
  <si>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</si>
  <si>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</si>
  <si>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</si>
  <si>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</si>
  <si>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</si>
  <si>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</si>
  <si>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</si>
  <si>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</si>
  <si>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</si>
  <si>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</si>
  <si>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</si>
  <si>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</si>
  <si>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</si>
  <si>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</si>
  <si>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</si>
  <si>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</si>
  <si>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</si>
  <si>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</si>
  <si>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</si>
  <si>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</si>
  <si>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</si>
  <si>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</si>
  <si>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</si>
  <si>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</si>
  <si>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</si>
  <si>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</si>
  <si>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</si>
  <si>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</si>
  <si>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</si>
  <si>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</si>
  <si>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</si>
  <si>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</si>
  <si>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</si>
  <si>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</si>
  <si>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</si>
  <si>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</si>
  <si>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</si>
  <si>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</si>
  <si>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</si>
  <si>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</si>
  <si>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</si>
  <si>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</si>
  <si>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</si>
  <si>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</si>
  <si>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</si>
  <si>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</si>
  <si>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</si>
  <si>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</si>
  <si>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</si>
  <si>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</si>
  <si>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</si>
  <si>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</si>
  <si>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</si>
  <si>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</si>
  <si>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</si>
  <si>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</si>
  <si>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</si>
  <si>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</si>
  <si>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</si>
  <si>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</si>
  <si>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</si>
  <si>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</si>
  <si>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</si>
  <si>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</si>
  <si>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</si>
  <si>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</si>
  <si>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</si>
  <si>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</si>
  <si>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</si>
  <si>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</si>
  <si>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</si>
  <si>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</si>
  <si>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</si>
  <si>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</si>
  <si>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</si>
  <si>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</si>
  <si>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</si>
  <si>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</si>
  <si>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</si>
  <si>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</si>
  <si>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</si>
  <si>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</si>
  <si>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</si>
  <si>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</si>
  <si>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</si>
  <si>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</si>
  <si>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</si>
  <si>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</si>
  <si>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</si>
  <si>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</si>
  <si>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</si>
  <si>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</si>
  <si>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</si>
  <si>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</si>
  <si>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</si>
  <si>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</si>
  <si>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</si>
  <si>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</si>
  <si>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</si>
  <si>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</si>
  <si>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</si>
  <si>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</si>
  <si>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</si>
  <si>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</si>
  <si>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</si>
  <si>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</si>
  <si>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</si>
  <si>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</si>
  <si>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</si>
  <si>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</si>
  <si>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</si>
  <si>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</si>
  <si>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</si>
  <si>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</si>
  <si>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</si>
  <si>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</si>
  <si>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</si>
  <si>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</si>
  <si>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</si>
  <si>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</si>
  <si>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</si>
  <si>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</si>
  <si>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</si>
  <si>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</si>
  <si>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</si>
  <si>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</si>
  <si>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</si>
  <si>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</si>
  <si>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</si>
  <si>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</si>
  <si>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</si>
  <si>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</si>
  <si>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</si>
  <si>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</si>
  <si>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</si>
  <si>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</si>
  <si>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</si>
  <si>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</si>
  <si>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</si>
  <si>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</si>
  <si>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</si>
  <si>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</si>
  <si>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</si>
  <si>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</si>
  <si>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</si>
  <si>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</si>
  <si>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</si>
  <si>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</si>
  <si>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</si>
  <si>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</si>
  <si>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</si>
  <si>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</si>
  <si>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</si>
  <si>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</si>
  <si>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</si>
  <si>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</si>
  <si>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colin pour les filets surgeles</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</si>
  <si>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</si>
  <si>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</si>
  <si>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</si>
  <si>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</si>
  <si>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</si>
  <si>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</si>
  <si>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</si>
  <si>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</si>
  <si>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</si>
  <si>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</si>
  <si>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</si>
  <si>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</si>
  <si>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</si>
  <si>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</si>
  <si>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</si>
  <si>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</si>
  <si>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</si>
  <si>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</si>
  <si>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</si>
  <si>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</si>
  <si>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</si>
  <si>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</si>
  <si>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</si>
  <si>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</si>
  <si>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</si>
  <si>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</si>
  <si>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</si>
  <si>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</si>
  <si>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</si>
  <si>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</si>
  <si>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</si>
  <si>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</si>
  <si>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</si>
  <si>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</si>
  <si>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</si>
  <si>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</si>
  <si>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</si>
  <si>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</si>
  <si>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</si>
  <si>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</si>
  <si>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</si>
  <si>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</si>
  <si>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</si>
  <si>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</si>
  <si>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</si>
  <si>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</si>
  <si>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</si>
  <si>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</si>
  <si>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</si>
  <si>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</si>
  <si>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</si>
  <si>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</si>
  <si>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</si>
  <si>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</si>
  <si>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</si>
  <si>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</si>
  <si>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</si>
  <si>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</si>
  <si>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</si>
  <si>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</si>
  <si>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</si>
  <si>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</si>
  <si>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</si>
  <si>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</si>
  <si>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</si>
  <si>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</si>
  <si>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</si>
  <si>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</si>
  <si>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</si>
  <si>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</si>
  <si>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</si>
  <si>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</si>
  <si>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</si>
  <si>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</si>
  <si>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</si>
  <si>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</si>
  <si>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</si>
  <si>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</si>
  <si>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</si>
  <si>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</si>
  <si>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</si>
  <si>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</si>
  <si>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</si>
  <si>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</si>
  <si>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</si>
  <si>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</si>
  <si>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</si>
  <si>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</si>
  <si>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</si>
  <si>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</si>
  <si>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</si>
  <si>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</si>
  <si>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</si>
  <si>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</si>
  <si>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</si>
  <si>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</si>
  <si>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</si>
  <si>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</si>
  <si>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</si>
  <si>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</si>
  <si>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</si>
  <si>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</si>
  <si>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</si>
  <si>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</si>
  <si>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</si>
  <si>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</si>
  <si>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</si>
  <si>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</si>
  <si>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</si>
  <si>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</si>
  <si>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</si>
  <si>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</si>
  <si>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</si>
  <si>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</si>
  <si>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</si>
  <si>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</si>
  <si>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</si>
  <si>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</si>
  <si>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</si>
  <si>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</si>
  <si>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</si>
  <si>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</si>
  <si>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</si>
  <si>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</si>
  <si>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</si>
  <si>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</si>
  <si>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</si>
  <si>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</si>
  <si>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</si>
  <si>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</si>
  <si>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</si>
  <si>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</si>
  <si>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</si>
  <si>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</si>
  <si>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</si>
  <si>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</si>
  <si>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</si>
  <si>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</si>
  <si>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</si>
  <si>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</si>
  <si>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</si>
  <si>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</si>
  <si>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</si>
  <si>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</si>
  <si>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</si>
  <si>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</si>
  <si>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</si>
  <si>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</si>
  <si>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</si>
  <si>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</si>
  <si>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</si>
  <si>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</si>
  <si>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</si>
  <si>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</si>
  <si>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</si>
  <si>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</si>
  <si>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</si>
  <si>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</si>
  <si>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</si>
  <si>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</si>
  <si>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</si>
  <si>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</si>
  <si>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</si>
  <si>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</si>
  <si>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</si>
  <si>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</si>
  <si>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</si>
  <si>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</si>
  <si>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</si>
  <si>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</si>
  <si>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</si>
  <si>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</si>
  <si>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</si>
  <si>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</si>
  <si>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</si>
  <si>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</si>
  <si>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</si>
  <si>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</si>
  <si>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</si>
  <si>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</si>
  <si>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</si>
  <si>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</si>
  <si>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</si>
  <si>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</si>
  <si>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</si>
  <si>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</si>
  <si>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</si>
  <si>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</si>
  <si>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</si>
  <si>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</si>
  <si>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</si>
  <si>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</si>
  <si>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</si>
  <si>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</si>
  <si>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</si>
  <si>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</si>
  <si>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</si>
  <si>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</si>
  <si>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</si>
  <si>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</si>
  <si>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</si>
  <si>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</si>
  <si>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</si>
  <si>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</si>
  <si>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</si>
  <si>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</si>
  <si>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</si>
  <si>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</si>
  <si>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</si>
  <si>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</si>
  <si>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</si>
  <si>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</si>
  <si>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</si>
  <si>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</si>
  <si>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</si>
  <si>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</si>
  <si>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</si>
  <si>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</si>
  <si>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</si>
  <si>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</si>
  <si>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</si>
  <si>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</si>
  <si>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</si>
  <si>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</si>
  <si>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</si>
  <si>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</si>
  <si>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</si>
  <si>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</si>
  <si>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</si>
  <si>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</si>
  <si>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</si>
  <si>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</si>
  <si>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</si>
  <si>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</si>
  <si>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</si>
  <si>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</si>
  <si>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</si>
  <si>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</si>
  <si>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</si>
  <si>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</si>
  <si>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</si>
  <si>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</si>
  <si>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</si>
  <si>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</si>
  <si>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</si>
  <si>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</si>
  <si>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</si>
  <si>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</si>
  <si>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</si>
  <si>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</si>
  <si>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</si>
  <si>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</si>
  <si>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</si>
  <si>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</si>
  <si>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</si>
  <si>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</si>
  <si>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</si>
  <si>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</si>
  <si>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</si>
  <si>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</si>
  <si>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</si>
  <si>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</si>
  <si>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</si>
  <si>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</si>
  <si>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</si>
  <si>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</si>
  <si>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</si>
  <si>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</si>
  <si>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</si>
  <si>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</si>
  <si>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</si>
  <si>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</si>
  <si>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</si>
  <si>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</si>
  <si>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</si>
  <si>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</si>
  <si>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</si>
  <si>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</si>
  <si>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</si>
  <si>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</si>
  <si>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</si>
  <si>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</si>
  <si>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</si>
  <si>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</si>
  <si>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</si>
  <si>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</si>
  <si>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</si>
  <si>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</si>
  <si>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</si>
  <si>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</si>
  <si>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</si>
  <si>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</si>
  <si>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</si>
  <si>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</si>
  <si>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</si>
  <si>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</si>
  <si>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</si>
  <si>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</si>
  <si>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</si>
  <si>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</si>
  <si>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</si>
  <si>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</si>
  <si>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</si>
  <si>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</si>
  <si>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</si>
  <si>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</si>
  <si>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</si>
  <si>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</si>
  <si>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</si>
  <si>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</si>
  <si>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</si>
  <si>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</si>
  <si>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</si>
  <si>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</si>
  <si>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</si>
  <si>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</si>
  <si>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</si>
  <si>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</si>
  <si>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</si>
  <si>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</si>
  <si>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</si>
  <si>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</si>
  <si>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</si>
  <si>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</si>
  <si>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</si>
  <si>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</si>
  <si>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</si>
  <si>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</si>
  <si>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</si>
  <si>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</si>
  <si>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</si>
  <si>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</si>
  <si>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</si>
  <si>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</si>
  <si>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</si>
  <si>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</si>
  <si>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</si>
  <si>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</si>
  <si>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</si>
  <si>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</si>
  <si>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</si>
  <si>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</si>
  <si>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</si>
  <si>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</si>
  <si>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</si>
  <si>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</si>
  <si>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</si>
  <si>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</si>
  <si>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</si>
  <si>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</si>
  <si>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</si>
  <si>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</si>
  <si>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</si>
  <si>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</si>
  <si>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</si>
  <si>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</si>
  <si>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</si>
  <si>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</si>
  <si>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</si>
  <si>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</si>
  <si>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</si>
  <si>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</si>
  <si>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</si>
  <si>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</si>
  <si>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</si>
  <si>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</si>
  <si>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</si>
  <si>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</si>
  <si>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</si>
  <si>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</si>
  <si>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</si>
  <si>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</si>
  <si>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</si>
  <si>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</si>
  <si>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</si>
  <si>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</si>
  <si>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</si>
  <si>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</si>
  <si>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</si>
  <si>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</si>
  <si>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</si>
  <si>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</si>
  <si>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</si>
  <si>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</si>
  <si>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</si>
  <si>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</si>
  <si>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</si>
  <si>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</si>
  <si>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</si>
  <si>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</si>
  <si>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</si>
  <si>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</si>
  <si>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</si>
  <si>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</si>
  <si>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</si>
  <si>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</si>
  <si>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</si>
  <si>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</si>
  <si>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</si>
  <si>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</si>
  <si>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</si>
  <si>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</si>
  <si>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</si>
  <si>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</si>
  <si>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</si>
  <si>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</si>
  <si>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</si>
  <si>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</si>
  <si>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</si>
  <si>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</si>
  <si>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</si>
  <si>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</si>
  <si>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</si>
  <si>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</si>
  <si>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</si>
  <si>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</si>
  <si>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</si>
  <si>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</si>
  <si>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</si>
  <si>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</si>
  <si>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</si>
  <si>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</si>
  <si>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</si>
  <si>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</si>
  <si>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</si>
  <si>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</si>
  <si>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</si>
  <si>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</si>
  <si>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</si>
  <si>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</si>
  <si>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</si>
  <si>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</si>
  <si>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</si>
  <si>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</si>
  <si>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</si>
  <si>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</si>
  <si>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</si>
  <si>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</si>
  <si>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</si>
  <si>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</si>
  <si>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</si>
  <si>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</si>
  <si>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</si>
  <si>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</si>
  <si>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</si>
  <si>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</si>
  <si>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</si>
  <si>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</si>
  <si>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</si>
  <si>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</si>
  <si>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</si>
  <si>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</si>
  <si>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</si>
  <si>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</si>
  <si>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</si>
  <si>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</si>
  <si>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</si>
  <si>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</si>
  <si>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</si>
  <si>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</si>
  <si>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</si>
  <si>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</si>
  <si>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</si>
  <si>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</si>
  <si>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</si>
  <si>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</si>
  <si>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</si>
  <si>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</si>
  <si>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</si>
  <si>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</si>
  <si>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</si>
  <si>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</si>
  <si>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</si>
  <si>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</si>
  <si>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</si>
  <si>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</si>
  <si>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</si>
  <si>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</si>
  <si>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</si>
  <si>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</si>
  <si>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</si>
  <si>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</si>
  <si>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</si>
  <si>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</si>
  <si>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</si>
  <si>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</si>
  <si>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</si>
  <si>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</si>
  <si>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</si>
  <si>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</si>
  <si>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</si>
  <si>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</si>
  <si>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</si>
  <si>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</si>
  <si>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</si>
  <si>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</si>
  <si>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</si>
  <si>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</si>
  <si>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</si>
  <si>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</si>
  <si>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</si>
  <si>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</si>
  <si>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</si>
  <si>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</si>
  <si>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</si>
  <si>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</si>
  <si>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</si>
  <si>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</si>
  <si>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</si>
  <si>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</si>
  <si>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</si>
  <si>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</si>
  <si>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</si>
  <si>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</si>
  <si>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</si>
  <si>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</si>
  <si>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</si>
  <si>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</si>
  <si>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</si>
  <si>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</si>
  <si>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</si>
  <si>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</si>
  <si>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</si>
  <si>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</si>
  <si>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</si>
  <si>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</si>
  <si>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</si>
  <si>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</si>
  <si>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</si>
  <si>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</si>
  <si>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</si>
  <si>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</si>
  <si>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</si>
  <si>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</si>
  <si>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</si>
  <si>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</si>
  <si>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</si>
  <si>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</si>
  <si>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</si>
  <si>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</si>
  <si>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</si>
  <si>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</si>
  <si>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</si>
  <si>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</si>
  <si>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</si>
  <si>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</si>
  <si>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</si>
  <si>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</si>
  <si>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</si>
  <si>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</si>
  <si>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</si>
  <si>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</si>
  <si>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</si>
  <si>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</si>
  <si>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</si>
  <si>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</si>
  <si>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</si>
  <si>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</si>
  <si>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</si>
  <si>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</si>
  <si>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</si>
  <si>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</si>
  <si>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</si>
  <si>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</si>
  <si>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</si>
  <si>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</si>
  <si>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</si>
  <si>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</si>
  <si>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</si>
  <si>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</si>
  <si>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</si>
  <si>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</si>
  <si>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</si>
  <si>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</si>
  <si>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</si>
  <si>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</si>
  <si>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</si>
  <si>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</si>
  <si>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</si>
  <si>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</si>
  <si>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</si>
  <si>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</si>
  <si>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</si>
  <si>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</si>
  <si>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</si>
  <si>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</si>
  <si>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</si>
  <si>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</si>
  <si>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</si>
  <si>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</si>
  <si>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</si>
  <si>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</si>
  <si>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</si>
  <si>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</si>
  <si>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</si>
  <si>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</si>
  <si>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</si>
  <si>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</si>
  <si>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</si>
  <si>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</si>
  <si>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</si>
  <si>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</si>
  <si>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</si>
  <si>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</si>
  <si>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</si>
  <si>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</si>
  <si>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</si>
  <si>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</si>
  <si>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</si>
  <si>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</si>
  <si>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</si>
  <si>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</si>
  <si>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</si>
  <si>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</si>
  <si>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</si>
  <si>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</si>
  <si>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</si>
  <si>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</si>
  <si>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</si>
  <si>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</si>
  <si>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</si>
  <si>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</si>
  <si>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</si>
  <si>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</si>
  <si>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</si>
  <si>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</si>
  <si>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</si>
  <si>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</si>
  <si>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</si>
  <si>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</si>
  <si>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</si>
  <si>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</si>
  <si>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</si>
  <si>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</si>
  <si>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</si>
  <si>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</si>
  <si>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</si>
  <si>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</si>
  <si>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</si>
  <si>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</si>
  <si>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</si>
  <si>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</si>
  <si>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</si>
  <si>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</si>
  <si>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</si>
  <si>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</si>
  <si>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</si>
  <si>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</si>
  <si>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</si>
  <si>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</si>
  <si>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</si>
  <si>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</si>
  <si>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</si>
  <si>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</si>
  <si>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</si>
  <si>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</si>
  <si>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</si>
  <si>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</si>
  <si>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</si>
  <si>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</si>
  <si>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</si>
  <si>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</si>
  <si>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</si>
  <si>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</si>
  <si>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</si>
  <si>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</si>
  <si>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</si>
  <si>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</si>
  <si>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</si>
  <si>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</si>
  <si>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</si>
  <si>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</si>
  <si>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</si>
  <si>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</si>
  <si>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</si>
  <si>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</si>
  <si>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</si>
  <si>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</si>
  <si>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</si>
  <si>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</si>
  <si>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</si>
  <si>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</si>
  <si>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</si>
  <si>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</si>
  <si>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</si>
  <si>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</si>
  <si>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</si>
  <si>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</si>
  <si>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</si>
  <si>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</si>
  <si>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</si>
  <si>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</si>
  <si>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</si>
  <si>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</si>
  <si>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</si>
  <si>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</si>
  <si>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</si>
  <si>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</si>
  <si>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</si>
  <si>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</si>
  <si>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</si>
  <si>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</si>
  <si>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</si>
  <si>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</si>
  <si>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</si>
  <si>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</si>
  <si>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</si>
  <si>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</si>
  <si>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</si>
  <si>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</si>
  <si>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</si>
  <si>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</si>
  <si>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</si>
  <si>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</si>
  <si>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</si>
  <si>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</si>
  <si>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</si>
  <si>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</si>
  <si>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</si>
  <si>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</si>
  <si>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</si>
  <si>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</si>
  <si>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</si>
  <si>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</si>
  <si>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</si>
  <si>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</si>
  <si>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</si>
  <si>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</si>
  <si>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</si>
  <si>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</si>
  <si>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</si>
  <si>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</si>
  <si>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</si>
  <si>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</si>
  <si>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</si>
  <si>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</si>
  <si>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</si>
  <si>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</si>
  <si>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</si>
  <si>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</si>
  <si>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</si>
  <si>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</si>
  <si>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</si>
  <si>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</si>
  <si>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</si>
  <si>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</si>
  <si>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</si>
  <si>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</si>
  <si>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</si>
  <si>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</si>
  <si>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</si>
  <si>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</si>
  <si>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</si>
  <si>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</si>
  <si>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</si>
  <si>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</si>
  <si>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</si>
  <si>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</si>
  <si>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</si>
  <si>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</si>
  <si>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</si>
  <si>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</si>
  <si>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</si>
  <si>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</si>
  <si>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</si>
  <si>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</si>
  <si>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</si>
  <si>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</si>
  <si>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</si>
  <si>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</si>
  <si>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</si>
  <si>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</si>
  <si>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</si>
  <si>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</si>
  <si>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</si>
  <si>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</si>
  <si>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</si>
  <si>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</si>
  <si>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</si>
  <si>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</si>
  <si>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</si>
  <si>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</si>
  <si>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</si>
  <si>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</si>
  <si>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</si>
  <si>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</si>
  <si>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</si>
  <si>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</si>
  <si>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</si>
  <si>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</si>
  <si>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</si>
  <si>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</si>
  <si>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</si>
  <si>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</si>
  <si>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</si>
  <si>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</si>
  <si>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</si>
  <si>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</si>
  <si>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</si>
  <si>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</si>
  <si>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</si>
  <si>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</si>
  <si>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</si>
  <si>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</si>
  <si>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</si>
  <si>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</si>
  <si>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</si>
  <si>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</si>
  <si>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</si>
  <si>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</si>
  <si>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</si>
  <si>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</si>
  <si>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</si>
  <si>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</si>
  <si>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</si>
  <si>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</si>
  <si>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</si>
  <si>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</si>
  <si>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</si>
  <si>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</si>
  <si>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</si>
  <si>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</si>
  <si>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</si>
  <si>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</si>
  <si>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</si>
  <si>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</si>
  <si>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</si>
  <si>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</si>
  <si>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</si>
  <si>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</si>
  <si>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</si>
  <si>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</si>
  <si>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</si>
  <si>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</si>
  <si>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</si>
  <si>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</si>
  <si>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</si>
  <si>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</si>
  <si>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</si>
  <si>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</si>
  <si>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</si>
  <si>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</si>
  <si>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</si>
  <si>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</si>
  <si>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</si>
  <si>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</si>
  <si>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</si>
  <si>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</si>
  <si>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</si>
  <si>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</si>
  <si>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</si>
  <si>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</si>
  <si>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</si>
  <si>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</si>
  <si>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</si>
  <si>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</si>
  <si>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</si>
  <si>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</si>
  <si>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</si>
  <si>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</si>
  <si>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</si>
  <si>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</si>
  <si>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</si>
  <si>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</si>
  <si>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</si>
  <si>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</si>
  <si>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</si>
  <si>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</si>
  <si>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</si>
  <si>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</si>
  <si>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</si>
  <si>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</si>
  <si>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</si>
  <si>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</si>
  <si>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</si>
  <si>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</si>
  <si>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</si>
  <si>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</si>
  <si>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</si>
  <si>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</si>
  <si>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</si>
  <si>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</si>
  <si>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</si>
  <si>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</si>
  <si>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</si>
  <si>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</si>
  <si>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</si>
  <si>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</si>
  <si>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</si>
  <si>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</si>
  <si>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</si>
  <si>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</si>
  <si>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</si>
  <si>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</si>
  <si>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</si>
  <si>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</si>
  <si>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</si>
  <si>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</si>
  <si>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</si>
  <si>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</si>
  <si>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</si>
  <si>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</si>
  <si>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</si>
  <si>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</si>
  <si>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</si>
  <si>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</si>
  <si>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</si>
  <si>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</si>
  <si>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</si>
  <si>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</si>
  <si>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</si>
  <si>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</si>
  <si>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</si>
  <si>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</si>
  <si>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</si>
  <si>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</si>
  <si>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</si>
  <si>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</si>
  <si>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</si>
  <si>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</si>
  <si>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</si>
  <si>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</si>
  <si>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</si>
  <si>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</si>
  <si>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</si>
  <si>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</si>
  <si>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</si>
  <si>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</si>
  <si>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</si>
  <si>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</si>
  <si>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</si>
  <si>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</si>
  <si>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</si>
  <si>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</si>
  <si>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</si>
  <si>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</si>
  <si>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</si>
  <si>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</si>
  <si>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</si>
  <si>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</si>
  <si>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</si>
  <si>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</si>
  <si>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</si>
  <si>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</si>
  <si>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</si>
  <si>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</si>
  <si>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</si>
  <si>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</si>
  <si>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</si>
  <si>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</si>
  <si>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</si>
  <si>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</si>
  <si>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</si>
  <si>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</si>
  <si>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</si>
  <si>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</si>
  <si>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</si>
  <si>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</si>
  <si>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</si>
  <si>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</si>
  <si>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</si>
  <si>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</si>
  <si>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</si>
  <si>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</si>
  <si>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</si>
  <si>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</si>
  <si>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</si>
  <si>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</si>
  <si>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</si>
  <si>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</si>
  <si>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</si>
  <si>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</si>
  <si>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</si>
  <si>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</si>
  <si>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</si>
  <si>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</si>
  <si>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</si>
  <si>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</si>
  <si>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</si>
  <si>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</si>
  <si>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</si>
  <si>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</si>
  <si>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</si>
  <si>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</si>
  <si>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</si>
  <si>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</si>
  <si>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</si>
  <si>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</si>
  <si>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</si>
  <si>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</si>
  <si>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</si>
  <si>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</si>
  <si>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</si>
  <si>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</si>
  <si>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</si>
  <si>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</si>
  <si>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</si>
  <si>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</si>
  <si>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</si>
  <si>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</si>
  <si>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</si>
  <si>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</si>
  <si>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</si>
  <si>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</si>
  <si>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</si>
  <si>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</si>
  <si>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</si>
  <si>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</si>
  <si>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</si>
  <si>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</si>
  <si>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</si>
  <si>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</si>
  <si>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</si>
  <si>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</si>
  <si>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</si>
  <si>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</si>
  <si>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</si>
  <si>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</si>
  <si>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</si>
  <si>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</si>
  <si>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</si>
  <si>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</si>
  <si>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</si>
  <si>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</si>
  <si>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</si>
  <si>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</si>
  <si>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</si>
  <si>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</si>
  <si>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</si>
  <si>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</si>
  <si>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</si>
  <si>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</si>
  <si>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</si>
  <si>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</si>
  <si>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</si>
  <si>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</si>
  <si>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</si>
  <si>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</si>
  <si>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</si>
  <si>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</si>
  <si>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</si>
  <si>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</si>
  <si>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</si>
  <si>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</si>
  <si>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</si>
  <si>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</si>
  <si>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</si>
  <si>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</si>
  <si>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</si>
  <si>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</si>
  <si>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</si>
  <si>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</si>
  <si>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</si>
  <si>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</si>
  <si>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</si>
  <si>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</si>
  <si>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</si>
  <si>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</si>
  <si>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</si>
  <si>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</si>
  <si>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</si>
  <si>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</si>
  <si>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</si>
  <si>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</si>
  <si>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</si>
  <si>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</si>
  <si>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</si>
  <si>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</si>
  <si>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</si>
  <si>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</si>
  <si>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</si>
  <si>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</si>
  <si>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</si>
  <si>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</si>
  <si>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</si>
  <si>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</si>
  <si>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</si>
  <si>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</si>
  <si>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</si>
  <si>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</si>
  <si>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</si>
  <si>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</si>
  <si>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</si>
  <si>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</si>
  <si>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</si>
  <si>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</si>
  <si>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</si>
  <si>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</si>
  <si>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</si>
  <si>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</si>
  <si>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</si>
  <si>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</si>
  <si>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</si>
  <si>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</si>
  <si>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</si>
  <si>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</si>
  <si>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</si>
  <si>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</si>
  <si>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</si>
  <si>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</si>
  <si>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</si>
  <si>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</si>
  <si>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</si>
  <si>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</si>
  <si>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</si>
  <si>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</si>
  <si>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</si>
  <si>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</si>
  <si>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</si>
  <si>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</si>
  <si>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</si>
  <si>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</si>
  <si>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</si>
  <si>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</si>
  <si>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</si>
  <si>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</si>
  <si>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</si>
  <si>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</si>
  <si>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</si>
  <si>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</si>
  <si>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</si>
  <si>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</si>
  <si>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</si>
  <si>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</si>
  <si>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</si>
  <si>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</si>
  <si>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</si>
  <si>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</si>
  <si>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</si>
  <si>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</si>
  <si>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</si>
  <si>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</si>
  <si>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</si>
  <si>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</si>
  <si>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</si>
  <si>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</si>
  <si>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</si>
  <si>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</si>
  <si>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</si>
  <si>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</si>
  <si>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</si>
  <si>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</si>
  <si>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</si>
  <si>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</si>
  <si>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</si>
  <si>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</si>
  <si>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</si>
  <si>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</si>
  <si>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</si>
  <si>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</si>
  <si>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</si>
  <si>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</si>
  <si>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</si>
  <si>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</si>
  <si>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</si>
  <si>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</si>
  <si>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</si>
  <si>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</si>
  <si>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</si>
  <si>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</si>
  <si>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</si>
  <si>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</si>
  <si>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</si>
  <si>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</si>
  <si>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</si>
  <si>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</si>
  <si>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</si>
  <si>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</si>
  <si>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</si>
  <si>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</si>
  <si>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</si>
  <si>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</si>
  <si>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</si>
  <si>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</si>
  <si>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</si>
  <si>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</si>
  <si>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</si>
  <si>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</si>
  <si>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</si>
  <si>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</si>
  <si>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</si>
  <si>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</si>
  <si>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</si>
  <si>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</si>
  <si>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</si>
  <si>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</si>
  <si>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</si>
  <si>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</si>
  <si>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</si>
  <si>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</si>
  <si>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</si>
  <si>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</si>
  <si>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</si>
  <si>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</si>
  <si>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</si>
  <si>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</si>
  <si>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</si>
  <si>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</si>
  <si>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</si>
  <si>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</si>
  <si>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</si>
  <si>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</si>
  <si>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</si>
  <si>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</si>
  <si>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</si>
  <si>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</si>
  <si>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</si>
  <si>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</si>
  <si>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</si>
  <si>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</si>
  <si>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</si>
  <si>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</si>
  <si>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</si>
  <si>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</si>
  <si>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</si>
  <si>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</si>
  <si>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</si>
  <si>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</si>
  <si>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</si>
  <si>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</si>
  <si>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</si>
  <si>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</si>
  <si>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</si>
  <si>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</si>
  <si>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</si>
  <si>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</si>
  <si>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</si>
  <si>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</si>
  <si>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</si>
  <si>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</si>
  <si>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</si>
  <si>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</si>
  <si>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</si>
  <si>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</si>
  <si>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</si>
  <si>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</si>
  <si>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</si>
  <si>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</si>
  <si>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</si>
  <si>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</si>
  <si>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</si>
  <si>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</si>
  <si>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</si>
  <si>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</si>
  <si>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</si>
  <si>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</si>
  <si>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</si>
  <si>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</si>
  <si>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</si>
  <si>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</si>
  <si>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</si>
  <si>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</si>
  <si>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</si>
  <si>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</si>
  <si>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</si>
  <si>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</si>
  <si>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</si>
  <si>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</si>
  <si>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</si>
  <si>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</si>
  <si>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</si>
  <si>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</si>
  <si>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</si>
  <si>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</si>
  <si>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</si>
  <si>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</si>
  <si>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</si>
  <si>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</si>
  <si>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</si>
  <si>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</si>
  <si>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</si>
  <si>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</si>
  <si>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</si>
  <si>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</si>
  <si>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</si>
  <si>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</si>
  <si>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</si>
  <si>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</si>
  <si>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</si>
  <si>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</si>
  <si>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</si>
  <si>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</si>
  <si>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</si>
  <si>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</si>
  <si>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</si>
  <si>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</si>
  <si>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</si>
  <si>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</si>
  <si>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</si>
  <si>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</si>
  <si>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</si>
  <si>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</si>
  <si>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</si>
  <si>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</si>
  <si>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</si>
  <si>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</si>
  <si>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</si>
  <si>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</si>
  <si>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</si>
  <si>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</si>
  <si>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</si>
  <si>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</si>
  <si>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</si>
  <si>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</si>
  <si>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</si>
  <si>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</si>
  <si>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</si>
  <si>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</si>
  <si>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</si>
  <si>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</si>
  <si>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</si>
  <si>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</si>
  <si>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</si>
  <si>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</si>
  <si>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</si>
  <si>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</si>
  <si>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</si>
  <si>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</si>
  <si>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</si>
  <si>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</si>
  <si>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</si>
  <si>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</si>
  <si>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</si>
  <si>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</si>
  <si>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</si>
  <si>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</si>
  <si>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</si>
  <si>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</si>
  <si>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</si>
  <si>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</si>
  <si>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</si>
  <si>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</si>
  <si>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</si>
  <si>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</si>
  <si>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</si>
  <si>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</si>
  <si>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</si>
  <si>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</si>
  <si>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</si>
  <si>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</si>
  <si>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</si>
  <si>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</si>
  <si>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</si>
  <si>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</si>
  <si>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</si>
  <si>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</si>
  <si>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</si>
  <si>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</si>
  <si>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</si>
  <si>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</si>
  <si>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</si>
  <si>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</si>
  <si>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</si>
  <si>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</si>
  <si>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</si>
  <si>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</si>
  <si>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</si>
  <si>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</si>
  <si>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</si>
  <si>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</si>
  <si>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</si>
  <si>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</si>
  <si>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</si>
  <si>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</si>
  <si>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</si>
  <si>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</si>
  <si>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</si>
  <si>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</si>
  <si>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</si>
  <si>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</si>
  <si>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</si>
  <si>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</si>
  <si>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</si>
  <si>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</si>
  <si>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</si>
  <si>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</si>
  <si>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</si>
  <si>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</si>
  <si>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</si>
  <si>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</si>
  <si>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</si>
  <si>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</si>
  <si>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</si>
  <si>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</si>
  <si>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</si>
  <si>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</si>
  <si>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</si>
  <si>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</si>
  <si>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</si>
  <si>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</si>
  <si>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</si>
  <si>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</si>
  <si>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</si>
  <si>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</si>
  <si>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</si>
  <si>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</si>
  <si>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</si>
  <si>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</si>
  <si>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</si>
  <si>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</si>
  <si>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</si>
  <si>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</si>
  <si>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</si>
  <si>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</si>
  <si>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</si>
  <si>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</si>
  <si>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</si>
  <si>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</si>
  <si>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</si>
  <si>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</si>
  <si>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</si>
  <si>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</si>
  <si>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</si>
  <si>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</si>
  <si>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</si>
  <si>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</si>
  <si>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</si>
  <si>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</si>
  <si>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</si>
  <si>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</si>
  <si>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</si>
  <si>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</si>
  <si>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</si>
  <si>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</si>
  <si>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</si>
  <si>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</si>
  <si>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</si>
  <si>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</si>
  <si>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</si>
  <si>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</si>
  <si>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</si>
  <si>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</si>
  <si>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</si>
  <si>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</si>
  <si>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</si>
  <si>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</si>
  <si>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</si>
  <si>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</si>
  <si>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</si>
  <si>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</si>
  <si>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</si>
  <si>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</si>
  <si>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</si>
  <si>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</si>
  <si>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</si>
  <si>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</si>
  <si>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</si>
  <si>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</si>
  <si>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</si>
  <si>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</si>
  <si>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</si>
  <si>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</si>
  <si>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</si>
  <si>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</si>
  <si>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</si>
  <si>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</si>
  <si>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</si>
  <si>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</si>
  <si>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</si>
  <si>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</si>
  <si>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</si>
  <si>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</si>
  <si>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</si>
  <si>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</si>
  <si>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</si>
  <si>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</si>
  <si>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</si>
  <si>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</si>
  <si>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</si>
  <si>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</si>
  <si>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</si>
  <si>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</si>
  <si>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</si>
  <si>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</si>
  <si>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</si>
  <si>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</si>
  <si>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</si>
  <si>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</si>
  <si>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</si>
  <si>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</si>
  <si>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</si>
  <si>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</si>
  <si>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</si>
  <si>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</si>
  <si>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</si>
  <si>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</si>
  <si>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</si>
  <si>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</si>
  <si>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</si>
  <si>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</si>
  <si>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</si>
  <si>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</si>
  <si>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</si>
  <si>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</si>
  <si>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</si>
  <si>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</si>
  <si>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</si>
  <si>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</si>
  <si>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</si>
  <si>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</si>
  <si>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</si>
  <si>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</si>
  <si>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</si>
  <si>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</si>
  <si>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</si>
  <si>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</si>
  <si>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</si>
  <si>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</si>
  <si>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</si>
  <si>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</si>
  <si>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</si>
  <si>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</si>
  <si>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</si>
  <si>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</si>
  <si>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</si>
  <si>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</si>
  <si>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</si>
  <si>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</si>
  <si>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</si>
  <si>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</si>
  <si>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</si>
  <si>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</si>
  <si>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</si>
  <si>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</si>
  <si>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</si>
  <si>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</si>
  <si>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</si>
  <si>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</si>
  <si>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</si>
  <si>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</si>
  <si>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</si>
  <si>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</si>
  <si>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</si>
  <si>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</si>
  <si>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</si>
  <si>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</si>
  <si>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</si>
  <si>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</si>
  <si>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</si>
  <si>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</si>
  <si>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</si>
  <si>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</si>
  <si>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</si>
  <si>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</si>
  <si>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</si>
  <si>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</si>
  <si>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</si>
  <si>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</si>
  <si>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</si>
  <si>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</si>
  <si>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</si>
  <si>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</si>
  <si>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</si>
  <si>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</si>
  <si>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</si>
  <si>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</si>
  <si>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</si>
  <si>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</si>
  <si>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</si>
  <si>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</si>
  <si>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</si>
  <si>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</si>
  <si>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</si>
  <si>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</si>
  <si>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</si>
  <si>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</si>
  <si>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</si>
  <si>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</si>
  <si>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</si>
  <si>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</si>
  <si>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</si>
  <si>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</si>
  <si>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</si>
  <si>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</si>
  <si>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</si>
  <si>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</si>
  <si>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</si>
  <si>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</si>
  <si>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</si>
  <si>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</si>
  <si>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</si>
  <si>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</si>
  <si>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</si>
  <si>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</si>
  <si>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</si>
  <si>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</si>
  <si>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</si>
  <si>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</si>
  <si>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</si>
  <si>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</si>
  <si>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</si>
  <si>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</si>
  <si>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</si>
  <si>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</si>
  <si>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</si>
  <si>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</si>
  <si>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</si>
  <si>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</si>
  <si>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</si>
  <si>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</si>
  <si>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</si>
  <si>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</si>
  <si>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</si>
  <si>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</si>
  <si>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</si>
  <si>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</si>
  <si>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</si>
  <si>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</si>
  <si>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</si>
  <si>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</si>
  <si>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</si>
  <si>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</si>
  <si>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</si>
  <si>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</si>
  <si>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</si>
  <si>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</si>
  <si>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</si>
  <si>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</si>
  <si>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</si>
  <si>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</si>
  <si>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</si>
  <si>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</si>
  <si>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</si>
  <si>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</si>
  <si>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</si>
  <si>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</si>
  <si>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</si>
  <si>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</si>
  <si>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</si>
  <si>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</si>
  <si>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</si>
  <si>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</si>
  <si>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</si>
  <si>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</si>
  <si>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</si>
  <si>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R1424</t>
  </si>
  <si>
    <t>protéine végétale texturée</t>
  </si>
  <si>
    <t>proteine vegetale texturee</t>
  </si>
  <si>
    <t>R1425</t>
  </si>
  <si>
    <t>protéines de soja</t>
  </si>
  <si>
    <t>R1426</t>
  </si>
  <si>
    <t>PVT soja</t>
  </si>
  <si>
    <t>pvt soja</t>
  </si>
  <si>
    <t>R1427</t>
  </si>
  <si>
    <t>R1428</t>
  </si>
  <si>
    <t>R1429</t>
  </si>
  <si>
    <t>R1430</t>
  </si>
  <si>
    <t>soy</t>
  </si>
  <si>
    <t>R1431</t>
  </si>
  <si>
    <t>soy milk</t>
  </si>
  <si>
    <t>R1432</t>
  </si>
  <si>
    <t>soy sauce</t>
  </si>
  <si>
    <t>R1433</t>
  </si>
  <si>
    <t>R1434</t>
  </si>
  <si>
    <t>soya sauce</t>
  </si>
  <si>
    <t>R1435</t>
  </si>
  <si>
    <t>soybean</t>
  </si>
  <si>
    <t>R1436</t>
  </si>
  <si>
    <t>soybeans</t>
  </si>
  <si>
    <t>R1437</t>
  </si>
  <si>
    <t>tamari</t>
  </si>
  <si>
    <t>R1438</t>
  </si>
  <si>
    <t>R1439</t>
  </si>
  <si>
    <t>toffu</t>
  </si>
  <si>
    <t>R1440</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</si>
  <si>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</si>
  <si>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</si>
  <si>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</si>
  <si>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</si>
  <si>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</si>
  <si>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</si>
  <si>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</si>
  <si>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</si>
  <si>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</si>
  <si>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</si>
  <si>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</si>
  <si>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</si>
  <si>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</si>
  <si>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</si>
  <si>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</si>
  <si>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</si>
  <si>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</si>
  <si>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</si>
  <si>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</si>
  <si>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</si>
  <si>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</si>
  <si>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</si>
  <si>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</si>
  <si>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</si>
  <si>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</si>
  <si>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</si>
  <si>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</si>
  <si>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</si>
  <si>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</si>
  <si>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</si>
  <si>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</si>
  <si>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</si>
  <si>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</si>
  <si>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</si>
  <si>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</si>
  <si>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</si>
  <si>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</si>
  <si>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</si>
  <si>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</si>
  <si>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</si>
  <si>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</si>
  <si>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</si>
  <si>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</si>
  <si>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</si>
  <si>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</si>
  <si>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</si>
  <si>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</si>
  <si>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</si>
  <si>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</si>
  <si>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</si>
  <si>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</si>
  <si>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</si>
  <si>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</si>
  <si>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</si>
  <si>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</si>
  <si>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</si>
  <si>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</si>
  <si>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</si>
  <si>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</si>
  <si>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</si>
  <si>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</si>
  <si>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</si>
  <si>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</si>
  <si>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</si>
  <si>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</si>
  <si>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</si>
  <si>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</si>
  <si>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</si>
  <si>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</si>
  <si>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</si>
  <si>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</si>
  <si>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</si>
  <si>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</si>
  <si>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</si>
  <si>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</si>
  <si>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</si>
  <si>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</si>
  <si>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</si>
  <si>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</si>
  <si>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</si>
  <si>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</si>
  <si>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</si>
  <si>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</si>
  <si>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</si>
  <si>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</si>
  <si>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</si>
  <si>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</si>
  <si>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</si>
  <si>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</si>
  <si>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</si>
  <si>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</si>
  <si>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</si>
  <si>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</si>
  <si>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</si>
  <si>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</si>
  <si>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</si>
  <si>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</si>
  <si>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</si>
  <si>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</si>
  <si>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</si>
  <si>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</si>
  <si>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</si>
  <si>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</si>
  <si>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</si>
  <si>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</si>
  <si>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</si>
  <si>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</si>
  <si>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</si>
  <si>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</si>
  <si>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</si>
  <si>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</si>
  <si>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</si>
  <si>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</si>
  <si>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</si>
  <si>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</si>
  <si>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</si>
  <si>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</si>
  <si>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</si>
  <si>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</si>
  <si>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</si>
  <si>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</si>
  <si>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</si>
  <si>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</si>
  <si>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</si>
  <si>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</si>
  <si>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</si>
  <si>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</si>
  <si>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</si>
  <si>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</si>
  <si>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</si>
  <si>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</si>
  <si>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</si>
  <si>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</si>
  <si>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</si>
  <si>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</si>
  <si>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</si>
  <si>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</si>
  <si>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</si>
  <si>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</si>
  <si>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</si>
  <si>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</si>
  <si>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</si>
  <si>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</si>
  <si>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</si>
  <si>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</si>
  <si>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</si>
  <si>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</si>
  <si>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</si>
  <si>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</si>
  <si>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</si>
  <si>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</si>
  <si>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</si>
  <si>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</si>
  <si>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</si>
  <si>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</si>
  <si>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</si>
  <si>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</si>
  <si>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</si>
  <si>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</si>
  <si>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</si>
  <si>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</si>
  <si>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</si>
  <si>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</si>
  <si>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</si>
  <si>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</si>
  <si>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</si>
  <si>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</si>
  <si>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</si>
  <si>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</si>
  <si>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</si>
  <si>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</si>
  <si>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</si>
  <si>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</si>
  <si>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</si>
  <si>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</si>
  <si>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</si>
  <si>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</si>
  <si>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</si>
  <si>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</si>
  <si>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</si>
  <si>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</si>
  <si>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</si>
  <si>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</si>
  <si>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</si>
  <si>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</si>
  <si>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</si>
  <si>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</si>
  <si>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</si>
  <si>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</si>
  <si>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</si>
  <si>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</si>
  <si>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</si>
  <si>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</si>
  <si>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</si>
  <si>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</si>
  <si>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</si>
  <si>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</si>
  <si>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</si>
  <si>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</si>
  <si>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</si>
  <si>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</si>
  <si>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</si>
  <si>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</si>
  <si>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</si>
  <si>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</si>
  <si>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</si>
  <si>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</si>
  <si>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</si>
  <si>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</si>
  <si>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</si>
  <si>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</si>
  <si>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</si>
  <si>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</si>
  <si>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</si>
  <si>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</si>
  <si>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</si>
  <si>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</si>
  <si>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</si>
  <si>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</si>
  <si>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</si>
  <si>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</si>
  <si>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</si>
  <si>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</si>
  <si>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</si>
  <si>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</si>
  <si>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</si>
  <si>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</si>
  <si>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</si>
  <si>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</si>
  <si>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</si>
  <si>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</si>
  <si>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</si>
  <si>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</si>
  <si>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</si>
  <si>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</si>
  <si>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</si>
  <si>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</si>
  <si>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</si>
  <si>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</si>
  <si>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</si>
  <si>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</si>
  <si>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</si>
  <si>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</si>
  <si>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</si>
  <si>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</si>
  <si>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</si>
  <si>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</si>
  <si>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</si>
  <si>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</si>
  <si>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</si>
  <si>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</si>
  <si>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</si>
  <si>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</si>
  <si>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</si>
  <si>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</si>
  <si>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</si>
  <si>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</si>
  <si>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</si>
  <si>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</si>
  <si>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</si>
  <si>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</si>
  <si>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</si>
  <si>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</si>
  <si>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</si>
  <si>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</si>
  <si>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</si>
  <si>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</si>
  <si>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</si>
  <si>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</si>
  <si>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</si>
  <si>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</si>
  <si>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</si>
  <si>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</si>
  <si>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</si>
  <si>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</si>
  <si>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</si>
  <si>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</si>
  <si>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</si>
  <si>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</si>
  <si>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</si>
  <si>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</si>
  <si>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</si>
  <si>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</si>
  <si>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</si>
  <si>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</si>
  <si>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</si>
  <si>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</si>
  <si>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</si>
  <si>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</si>
  <si>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</si>
  <si>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</si>
  <si>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</si>
  <si>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</si>
  <si>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</si>
  <si>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</si>
  <si>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</si>
  <si>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</si>
  <si>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</si>
  <si>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</si>
  <si>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</si>
  <si>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</si>
  <si>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</si>
  <si>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</si>
  <si>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</si>
  <si>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</si>
  <si>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</si>
  <si>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</si>
  <si>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</si>
  <si>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</si>
  <si>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</si>
  <si>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</si>
  <si>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</si>
  <si>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</si>
  <si>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</si>
  <si>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</si>
  <si>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</si>
  <si>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</si>
  <si>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</si>
  <si>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</si>
  <si>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</si>
  <si>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</si>
  <si>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</si>
  <si>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</si>
  <si>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</si>
  <si>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</si>
  <si>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</si>
  <si>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</si>
  <si>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</si>
  <si>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</si>
  <si>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</si>
  <si>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</si>
  <si>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</si>
  <si>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</si>
  <si>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</si>
  <si>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</si>
  <si>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</si>
  <si>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</si>
  <si>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</si>
  <si>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</si>
  <si>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</si>
  <si>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</si>
  <si>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</si>
  <si>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</si>
  <si>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</si>
  <si>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</si>
  <si>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</si>
  <si>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</si>
  <si>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</si>
  <si>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</si>
  <si>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</si>
  <si>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</si>
  <si>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</si>
  <si>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</si>
  <si>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</si>
  <si>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</si>
  <si>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</si>
  <si>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</si>
  <si>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</si>
  <si>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</si>
  <si>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</si>
  <si>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</si>
  <si>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</si>
  <si>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</si>
  <si>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</si>
  <si>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</si>
  <si>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</si>
  <si>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</si>
  <si>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</si>
  <si>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</si>
  <si>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</si>
  <si>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</si>
  <si>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</si>
  <si>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</si>
  <si>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</si>
  <si>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</si>
  <si>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</si>
  <si>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</si>
  <si>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</si>
  <si>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</si>
  <si>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</si>
  <si>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</si>
  <si>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</si>
  <si>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</si>
  <si>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</si>
  <si>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</si>
  <si>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</si>
  <si>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</si>
  <si>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</si>
  <si>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</si>
  <si>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</si>
  <si>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</si>
  <si>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</si>
  <si>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</si>
  <si>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</si>
  <si>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</si>
  <si>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</si>
  <si>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</si>
  <si>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</si>
  <si>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</si>
  <si>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</si>
  <si>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</si>
  <si>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</si>
  <si>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</si>
  <si>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</si>
  <si>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</si>
  <si>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</si>
  <si>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</si>
  <si>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</si>
  <si>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</si>
  <si>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</si>
  <si>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</si>
  <si>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</si>
  <si>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</si>
  <si>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</si>
  <si>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</si>
  <si>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</si>
  <si>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</si>
  <si>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</si>
  <si>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</si>
  <si>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</si>
  <si>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</si>
  <si>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</si>
  <si>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</si>
  <si>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</si>
  <si>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</si>
  <si>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</si>
  <si>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</si>
  <si>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</si>
  <si>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</si>
  <si>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</si>
  <si>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</si>
  <si>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</si>
  <si>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</si>
  <si>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</si>
  <si>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</si>
  <si>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</si>
  <si>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</si>
  <si>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</si>
  <si>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</si>
  <si>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</si>
  <si>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</si>
  <si>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</si>
  <si>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</si>
  <si>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</si>
  <si>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</si>
  <si>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</si>
  <si>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</si>
  <si>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</si>
  <si>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</si>
  <si>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</si>
  <si>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</si>
  <si>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</si>
  <si>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</si>
  <si>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</si>
  <si>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</si>
  <si>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</si>
  <si>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</si>
  <si>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</si>
  <si>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</si>
  <si>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</si>
  <si>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</si>
  <si>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</si>
  <si>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</si>
  <si>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</si>
  <si>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</si>
  <si>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</si>
  <si>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</si>
  <si>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</si>
  <si>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</si>
  <si>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</si>
  <si>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</si>
  <si>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</si>
  <si>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</si>
  <si>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</si>
  <si>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</si>
  <si>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</si>
  <si>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</si>
  <si>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</si>
  <si>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</si>
  <si>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</si>
  <si>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</si>
  <si>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</si>
  <si>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</si>
  <si>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</si>
  <si>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</si>
  <si>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</si>
  <si>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</si>
  <si>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</si>
  <si>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</si>
  <si>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</si>
  <si>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</si>
  <si>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</si>
  <si>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</si>
  <si>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</si>
  <si>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</si>
  <si>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</si>
  <si>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</si>
  <si>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</si>
  <si>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</si>
  <si>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</si>
  <si>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</si>
  <si>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</si>
  <si>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</si>
  <si>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</si>
  <si>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</si>
  <si>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</si>
  <si>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</si>
  <si>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</si>
  <si>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</si>
  <si>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</si>
  <si>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</si>
  <si>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</si>
  <si>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</si>
  <si>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</si>
  <si>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</si>
  <si>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</si>
  <si>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</si>
  <si>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</si>
  <si>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</si>
  <si>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</si>
  <si>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</si>
  <si>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</si>
  <si>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</si>
  <si>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</si>
  <si>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</si>
  <si>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</si>
  <si>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</si>
  <si>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</si>
  <si>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</si>
  <si>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</si>
  <si>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</si>
  <si>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</si>
  <si>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</si>
  <si>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</si>
  <si>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</si>
  <si>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</si>
  <si>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</si>
  <si>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</si>
  <si>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</si>
  <si>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</si>
  <si>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</si>
  <si>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</si>
  <si>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</si>
  <si>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</si>
  <si>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</si>
  <si>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</si>
  <si>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</si>
  <si>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</si>
  <si>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</si>
  <si>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</si>
  <si>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</si>
  <si>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</si>
  <si>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</si>
  <si>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</si>
  <si>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</si>
  <si>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</si>
  <si>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</si>
  <si>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</si>
  <si>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</si>
  <si>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</si>
  <si>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</si>
  <si>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</si>
  <si>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</si>
  <si>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</si>
  <si>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</si>
  <si>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</si>
  <si>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</si>
  <si>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</si>
  <si>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</si>
  <si>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</si>
  <si>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</si>
  <si>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</si>
  <si>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</si>
  <si>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</si>
  <si>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</si>
  <si>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</si>
  <si>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</si>
  <si>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</si>
  <si>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</si>
  <si>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</si>
  <si>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</si>
  <si>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</si>
  <si>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</si>
  <si>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</si>
  <si>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</si>
  <si>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</si>
  <si>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</si>
  <si>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</si>
  <si>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</si>
  <si>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</si>
  <si>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</si>
  <si>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</si>
  <si>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</si>
  <si>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</si>
  <si>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</si>
  <si>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</si>
  <si>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</si>
  <si>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</si>
  <si>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</si>
  <si>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</si>
  <si>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</si>
  <si>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</si>
  <si>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</si>
  <si>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</si>
  <si>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</si>
  <si>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</si>
  <si>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</si>
  <si>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</si>
  <si>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</si>
  <si>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</si>
  <si>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</si>
  <si>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</si>
  <si>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</si>
  <si>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</si>
  <si>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</si>
  <si>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</si>
  <si>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</si>
  <si>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</si>
  <si>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</si>
  <si>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</si>
  <si>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</si>
  <si>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</si>
  <si>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</si>
  <si>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</si>
  <si>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</si>
  <si>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</si>
  <si>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</si>
  <si>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</si>
  <si>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</si>
  <si>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</si>
  <si>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</si>
  <si>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</si>
  <si>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</si>
  <si>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</si>
  <si>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</si>
  <si>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</si>
  <si>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</si>
  <si>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</si>
  <si>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</si>
  <si>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</si>
  <si>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</si>
  <si>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</si>
  <si>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</si>
  <si>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</si>
  <si>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</si>
  <si>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</si>
  <si>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</si>
  <si>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</si>
  <si>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</si>
  <si>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</si>
  <si>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</si>
  <si>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</si>
  <si>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</si>
  <si>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</si>
  <si>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</si>
  <si>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</si>
  <si>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</si>
  <si>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</si>
  <si>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</si>
  <si>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</si>
  <si>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</si>
  <si>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</si>
  <si>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</si>
  <si>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</si>
  <si>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</si>
  <si>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</si>
  <si>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</si>
  <si>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</si>
  <si>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</si>
  <si>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</si>
  <si>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</si>
  <si>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</si>
  <si>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</si>
  <si>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</si>
  <si>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</si>
  <si>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</si>
  <si>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</si>
  <si>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</si>
  <si>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</si>
  <si>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</si>
  <si>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</si>
  <si>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</si>
  <si>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</si>
  <si>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</si>
  <si>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</si>
  <si>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</si>
  <si>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</si>
  <si>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</si>
  <si>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</si>
  <si>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</si>
  <si>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</si>
  <si>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</si>
  <si>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</si>
  <si>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</si>
  <si>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</si>
  <si>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</si>
  <si>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</si>
  <si>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</si>
  <si>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</si>
  <si>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</si>
  <si>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</si>
  <si>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</si>
  <si>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</si>
  <si>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</si>
  <si>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</si>
  <si>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</si>
  <si>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</si>
  <si>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</si>
  <si>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</si>
  <si>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</si>
  <si>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</si>
  <si>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</si>
  <si>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</si>
  <si>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</si>
  <si>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</si>
  <si>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</si>
  <si>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</si>
  <si>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</si>
  <si>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</si>
  <si>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</si>
  <si>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</si>
  <si>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</si>
  <si>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</si>
  <si>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</si>
  <si>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</si>
  <si>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</si>
  <si>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</si>
  <si>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</si>
  <si>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</si>
  <si>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</si>
  <si>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</si>
  <si>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</si>
  <si>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</si>
  <si>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</si>
  <si>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</si>
  <si>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</si>
  <si>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</si>
  <si>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</si>
  <si>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</si>
  <si>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</si>
  <si>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</si>
  <si>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</si>
  <si>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</si>
  <si>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</si>
  <si>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</si>
  <si>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</si>
  <si>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</si>
  <si>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</si>
  <si>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</si>
  <si>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</si>
  <si>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</si>
  <si>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</si>
  <si>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</si>
  <si>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</si>
  <si>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</si>
  <si>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</si>
  <si>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</si>
  <si>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</si>
  <si>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</si>
  <si>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</si>
  <si>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</si>
  <si>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</si>
  <si>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</si>
  <si>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</si>
  <si>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</si>
  <si>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</si>
  <si>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</si>
  <si>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</si>
  <si>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</si>
  <si>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</si>
  <si>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</si>
  <si>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</si>
  <si>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</si>
  <si>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</si>
  <si>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</si>
  <si>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</si>
  <si>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</si>
  <si>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</si>
  <si>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</si>
  <si>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</si>
  <si>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</si>
  <si>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</si>
  <si>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</si>
  <si>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</si>
  <si>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</si>
  <si>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</si>
  <si>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</si>
  <si>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</si>
  <si>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</si>
  <si>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</si>
  <si>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</si>
  <si>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</si>
  <si>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</si>
  <si>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</si>
  <si>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</si>
  <si>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</si>
  <si>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</si>
  <si>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</si>
  <si>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</si>
  <si>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</si>
  <si>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</si>
  <si>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</si>
  <si>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</si>
  <si>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</si>
  <si>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</si>
  <si>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</si>
  <si>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</si>
  <si>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</si>
  <si>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</si>
  <si>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</si>
  <si>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</si>
  <si>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</si>
  <si>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</si>
  <si>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</si>
  <si>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</si>
  <si>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</si>
  <si>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</si>
  <si>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</si>
  <si>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</si>
  <si>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</si>
  <si>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</si>
  <si>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</si>
  <si>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</si>
  <si>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</si>
  <si>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</si>
  <si>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</si>
  <si>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</si>
  <si>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</si>
  <si>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</si>
  <si>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</si>
  <si>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</si>
  <si>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</si>
  <si>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</si>
  <si>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</si>
  <si>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</si>
  <si>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</si>
  <si>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</si>
  <si>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</si>
  <si>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</si>
  <si>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</si>
  <si>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</si>
  <si>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</si>
  <si>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</si>
  <si>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</si>
  <si>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</si>
  <si>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</si>
  <si>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</si>
  <si>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</si>
  <si>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</si>
  <si>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</si>
  <si>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</si>
  <si>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</si>
  <si>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</si>
  <si>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</si>
  <si>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</si>
  <si>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</si>
  <si>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</si>
  <si>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</si>
  <si>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</si>
  <si>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</si>
  <si>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</si>
  <si>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</si>
  <si>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</si>
  <si>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</si>
  <si>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</si>
  <si>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</si>
  <si>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</si>
  <si>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</si>
  <si>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</si>
  <si>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</si>
  <si>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</si>
  <si>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</si>
  <si>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</si>
  <si>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</si>
  <si>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</si>
  <si>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</si>
  <si>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</si>
  <si>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</si>
  <si>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</si>
  <si>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</si>
  <si>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</si>
  <si>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</si>
  <si>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</si>
  <si>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</si>
  <si>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</si>
  <si>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</si>
  <si>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</si>
  <si>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</si>
  <si>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</si>
  <si>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</si>
  <si>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</si>
  <si>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</si>
  <si>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</si>
  <si>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</si>
  <si>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</si>
  <si>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</si>
  <si>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</si>
  <si>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</si>
  <si>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</si>
  <si>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</si>
  <si>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</si>
  <si>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</si>
  <si>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</si>
  <si>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</si>
  <si>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</si>
  <si>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</si>
  <si>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</si>
  <si>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</si>
  <si>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</si>
  <si>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</si>
  <si>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</si>
  <si>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</si>
  <si>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</si>
  <si>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</si>
  <si>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</si>
  <si>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</si>
  <si>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</si>
  <si>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</si>
  <si>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</si>
  <si>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</si>
  <si>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</si>
  <si>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</si>
  <si>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</si>
  <si>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</si>
  <si>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</si>
  <si>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</si>
  <si>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</si>
  <si>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</si>
  <si>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</si>
  <si>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</si>
  <si>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</si>
  <si>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</si>
  <si>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</si>
  <si>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</si>
  <si>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</si>
  <si>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</si>
  <si>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</si>
  <si>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</si>
  <si>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</si>
  <si>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</si>
  <si>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</si>
  <si>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</si>
  <si>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</si>
  <si>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</si>
  <si>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</si>
  <si>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</si>
  <si>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</si>
  <si>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</si>
  <si>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</si>
  <si>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</si>
  <si>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</si>
  <si>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</si>
  <si>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</si>
  <si>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</si>
  <si>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</si>
  <si>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</si>
  <si>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</si>
  <si>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</si>
  <si>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</si>
  <si>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</si>
  <si>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</si>
  <si>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</si>
  <si>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</si>
  <si>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</si>
  <si>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</si>
  <si>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</si>
  <si>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</si>
  <si>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</si>
  <si>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</si>
  <si>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</si>
  <si>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</si>
  <si>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</si>
  <si>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</si>
  <si>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</si>
  <si>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</si>
  <si>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</si>
  <si>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</si>
  <si>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</si>
  <si>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</si>
  <si>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</si>
  <si>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</si>
  <si>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</si>
  <si>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</si>
  <si>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</si>
  <si>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</si>
  <si>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</si>
  <si>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</si>
  <si>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</si>
  <si>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</si>
  <si>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</si>
  <si>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</si>
  <si>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</si>
  <si>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</si>
  <si>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</si>
  <si>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</si>
  <si>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</si>
  <si>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</si>
  <si>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</si>
  <si>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</si>
  <si>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</si>
  <si>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</si>
  <si>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</si>
  <si>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</si>
  <si>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</si>
  <si>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</si>
  <si>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</si>
  <si>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</si>
  <si>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</si>
  <si>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</si>
  <si>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</si>
  <si>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</si>
  <si>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</si>
  <si>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</si>
  <si>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</si>
  <si>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</si>
  <si>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</si>
  <si>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</si>
  <si>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</si>
  <si>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</si>
  <si>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</si>
  <si>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</si>
  <si>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</si>
  <si>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</si>
  <si>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</si>
  <si>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</si>
  <si>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</si>
  <si>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</si>
  <si>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</si>
  <si>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</si>
  <si>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</si>
  <si>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</si>
  <si>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</si>
  <si>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</si>
  <si>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</si>
  <si>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</si>
  <si>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</si>
  <si>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</si>
  <si>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</si>
  <si>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</si>
  <si>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</si>
  <si>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</si>
  <si>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</si>
  <si>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</si>
  <si>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</si>
  <si>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</si>
  <si>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</si>
  <si>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</si>
  <si>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</si>
  <si>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</si>
  <si>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</si>
  <si>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</si>
  <si>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</si>
  <si>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</si>
  <si>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</si>
  <si>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</si>
  <si>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</si>
  <si>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</si>
  <si>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</si>
  <si>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</si>
  <si>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</si>
  <si>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</si>
  <si>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</si>
  <si>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</si>
  <si>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</si>
  <si>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</si>
  <si>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</si>
  <si>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</si>
  <si>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</si>
  <si>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</si>
  <si>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</si>
  <si>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</si>
  <si>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</si>
  <si>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</si>
  <si>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</si>
  <si>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</si>
  <si>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</si>
  <si>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</si>
  <si>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</si>
  <si>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</si>
  <si>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</si>
  <si>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</si>
  <si>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</si>
  <si>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</si>
  <si>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</si>
  <si>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</si>
  <si>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</si>
  <si>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</si>
  <si>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</si>
  <si>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</si>
  <si>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</si>
  <si>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</si>
  <si>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</si>
  <si>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</si>
  <si>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</si>
  <si>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</si>
  <si>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</si>
  <si>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</si>
  <si>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</si>
  <si>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</si>
  <si>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</si>
  <si>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</si>
  <si>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</si>
  <si>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</si>
  <si>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</si>
  <si>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</si>
  <si>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</si>
  <si>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</si>
  <si>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</si>
  <si>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</si>
  <si>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</si>
  <si>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</si>
  <si>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</si>
  <si>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</si>
  <si>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</si>
  <si>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</si>
  <si>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</si>
  <si>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</si>
  <si>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</si>
  <si>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</si>
  <si>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</si>
  <si>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</si>
  <si>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</si>
  <si>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</si>
  <si>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</si>
  <si>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</si>
  <si>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</si>
  <si>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</si>
  <si>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</si>
  <si>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</si>
  <si>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</si>
  <si>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</si>
  <si>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</si>
  <si>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</si>
  <si>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</si>
  <si>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</si>
  <si>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</si>
  <si>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</si>
  <si>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</si>
  <si>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</si>
  <si>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</si>
  <si>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</si>
  <si>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</si>
  <si>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</si>
  <si>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</si>
  <si>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</si>
  <si>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</si>
  <si>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</si>
  <si>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</si>
  <si>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</si>
  <si>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</si>
  <si>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</si>
  <si>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</si>
  <si>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</si>
  <si>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</si>
  <si>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</si>
  <si>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</si>
  <si>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</si>
  <si>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</si>
  <si>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</si>
  <si>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</si>
  <si>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</si>
  <si>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</si>
  <si>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</si>
  <si>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</si>
  <si>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</si>
  <si>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</si>
  <si>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</si>
  <si>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</si>
  <si>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</si>
  <si>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</si>
  <si>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</si>
  <si>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</si>
  <si>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</si>
  <si>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</si>
  <si>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</si>
  <si>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</si>
  <si>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</si>
  <si>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</si>
  <si>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</si>
  <si>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</si>
  <si>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</si>
  <si>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</si>
  <si>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</si>
  <si>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</si>
  <si>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</si>
  <si>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</si>
  <si>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</si>
  <si>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</si>
  <si>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</si>
  <si>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</si>
  <si>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</si>
  <si>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</si>
  <si>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</si>
  <si>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</si>
  <si>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</si>
  <si>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</si>
  <si>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</si>
  <si>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</si>
  <si>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</si>
  <si>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</si>
  <si>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</si>
  <si>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</si>
  <si>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</si>
  <si>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</si>
  <si>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</si>
  <si>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</si>
  <si>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</si>
  <si>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</si>
  <si>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</si>
  <si>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</si>
  <si>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</si>
  <si>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</si>
  <si>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</si>
  <si>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</si>
  <si>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</si>
  <si>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</si>
  <si>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</si>
  <si>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</si>
  <si>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</si>
  <si>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</si>
  <si>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</si>
  <si>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</si>
  <si>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</si>
  <si>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</si>
  <si>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</si>
  <si>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</si>
  <si>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</si>
  <si>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</si>
  <si>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</si>
  <si>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</si>
  <si>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</si>
  <si>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</si>
  <si>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</si>
  <si>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</si>
  <si>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</si>
  <si>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</si>
  <si>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</si>
  <si>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</si>
  <si>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</si>
  <si>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</si>
  <si>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</si>
  <si>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</si>
  <si>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</si>
  <si>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</si>
  <si>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</si>
  <si>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</si>
  <si>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</si>
  <si>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</si>
  <si>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</si>
  <si>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</si>
  <si>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</si>
  <si>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</si>
  <si>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</si>
  <si>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</si>
  <si>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</si>
  <si>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</si>
  <si>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</si>
  <si>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</si>
  <si>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</si>
  <si>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</si>
  <si>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</si>
  <si>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</si>
  <si>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</si>
  <si>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</si>
  <si>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</si>
  <si>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</si>
  <si>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</si>
  <si>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</si>
  <si>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</si>
  <si>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</si>
  <si>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</si>
  <si>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</si>
  <si>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</si>
  <si>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</si>
  <si>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</si>
  <si>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</si>
  <si>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</si>
  <si>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</si>
  <si>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</si>
  <si>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</si>
  <si>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</si>
  <si>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</si>
  <si>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</si>
  <si>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</si>
  <si>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</si>
  <si>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</si>
  <si>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</si>
  <si>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</si>
  <si>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</si>
  <si>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</si>
  <si>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</si>
  <si>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</si>
  <si>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</si>
  <si>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</si>
  <si>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</si>
  <si>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</si>
  <si>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</si>
  <si>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</si>
  <si>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</si>
  <si>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</si>
  <si>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</si>
  <si>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</si>
  <si>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</si>
  <si>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</si>
  <si>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</si>
  <si>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</si>
  <si>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</si>
  <si>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</si>
  <si>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</si>
  <si>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</si>
  <si>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</si>
  <si>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</si>
  <si>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</si>
  <si>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</si>
  <si>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</si>
  <si>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</si>
  <si>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</si>
  <si>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</si>
  <si>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</si>
  <si>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</si>
  <si>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</si>
  <si>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</si>
  <si>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</si>
  <si>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</si>
  <si>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</si>
  <si>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</si>
  <si>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</si>
  <si>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</si>
  <si>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</si>
  <si>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</si>
  <si>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</si>
  <si>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</si>
  <si>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</si>
  <si>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</si>
  <si>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</si>
  <si>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</si>
  <si>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</si>
  <si>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</si>
  <si>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</si>
  <si>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</si>
  <si>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</si>
  <si>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</si>
  <si>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</si>
  <si>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</si>
  <si>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</si>
  <si>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</si>
  <si>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</si>
  <si>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</si>
  <si>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</si>
  <si>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</si>
  <si>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</si>
  <si>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</si>
  <si>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</si>
  <si>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</si>
  <si>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</si>
  <si>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</si>
  <si>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</si>
  <si>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</si>
  <si>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</si>
  <si>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</si>
  <si>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</si>
  <si>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</si>
  <si>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</si>
  <si>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</si>
  <si>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</si>
  <si>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</si>
  <si>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</si>
  <si>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</si>
  <si>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</si>
  <si>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</si>
  <si>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</si>
  <si>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</si>
  <si>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</si>
  <si>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</si>
  <si>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</si>
  <si>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</si>
  <si>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</si>
  <si>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</si>
  <si>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</si>
  <si>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</si>
  <si>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</si>
  <si>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</si>
  <si>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</si>
  <si>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</si>
  <si>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</si>
  <si>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</si>
  <si>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</si>
  <si>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</si>
  <si>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</si>
  <si>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</si>
  <si>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</si>
  <si>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</si>
  <si>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</si>
  <si>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</si>
  <si>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</si>
  <si>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</si>
  <si>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</si>
  <si>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</si>
  <si>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</si>
  <si>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</si>
  <si>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</si>
  <si>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</si>
  <si>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</si>
  <si>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</si>
  <si>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</si>
  <si>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</si>
  <si>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</si>
  <si>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</si>
  <si>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</si>
  <si>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</si>
  <si>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</si>
  <si>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</si>
  <si>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</si>
  <si>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</si>
  <si>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</si>
  <si>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</si>
  <si>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</si>
  <si>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</si>
  <si>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</si>
  <si>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</si>
  <si>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</si>
  <si>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</si>
  <si>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</si>
  <si>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</si>
  <si>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</si>
  <si>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</si>
  <si>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</si>
  <si>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</si>
  <si>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</si>
  <si>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</si>
  <si>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</si>
  <si>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</si>
  <si>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</si>
  <si>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</si>
  <si>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</si>
  <si>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</si>
  <si>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</si>
  <si>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</si>
  <si>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</si>
  <si>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</si>
  <si>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</si>
  <si>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</si>
  <si>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</si>
  <si>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</si>
  <si>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</si>
  <si>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</si>
  <si>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</si>
  <si>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</si>
  <si>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</si>
  <si>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</si>
  <si>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</si>
  <si>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</si>
  <si>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</si>
  <si>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</si>
  <si>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</si>
  <si>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</si>
  <si>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</si>
  <si>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</si>
  <si>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</si>
  <si>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</si>
  <si>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</si>
  <si>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</si>
  <si>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</si>
  <si>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</si>
  <si>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</si>
  <si>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</si>
  <si>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</si>
  <si>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</si>
  <si>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</si>
  <si>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</si>
  <si>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</si>
  <si>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</si>
  <si>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</si>
  <si>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</si>
  <si>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</si>
  <si>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</si>
  <si>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</si>
  <si>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</si>
  <si>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</si>
  <si>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</si>
  <si>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</si>
  <si>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</si>
  <si>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</si>
  <si>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</si>
  <si>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</si>
  <si>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</si>
  <si>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</si>
  <si>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</si>
  <si>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</si>
  <si>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</si>
  <si>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</si>
  <si>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</si>
  <si>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</si>
  <si>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</si>
  <si>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</si>
  <si>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</si>
  <si>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</si>
  <si>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</si>
  <si>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</si>
  <si>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</si>
  <si>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</si>
  <si>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</si>
  <si>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</si>
  <si>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</si>
  <si>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</si>
  <si>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</si>
  <si>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</si>
  <si>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</si>
  <si>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</si>
  <si>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</si>
  <si>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</si>
  <si>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</si>
  <si>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</si>
  <si>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</si>
  <si>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Classé en allergène certain dans ce moteur pour le vinaigre de vin.</t>
  </si>
  <si>
    <t>R2133</t>
  </si>
  <si>
    <t>wine cocktail</t>
  </si>
  <si>
    <t>R2134</t>
  </si>
  <si>
    <t>xérès</t>
  </si>
  <si>
    <t>xeres</t>
  </si>
  <si>
    <t>R2135</t>
  </si>
  <si>
    <t>Lupin ou dérivé.</t>
  </si>
  <si>
    <t>R2136</t>
  </si>
  <si>
    <t>graine de lupin</t>
  </si>
  <si>
    <t>R2137</t>
  </si>
  <si>
    <t>graines de lupin</t>
  </si>
  <si>
    <t>R2138</t>
  </si>
  <si>
    <t>isolat de lupin</t>
  </si>
  <si>
    <t>R2139</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</si>
  <si>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</si>
  <si>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</si>
  <si>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</si>
  <si>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</si>
  <si>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</si>
  <si>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</si>
  <si>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</si>
  <si>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</si>
  <si>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</si>
  <si>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</si>
  <si>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</si>
  <si>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</si>
  <si>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</si>
  <si>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</si>
  <si>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</si>
  <si>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</si>
  <si>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</si>
  <si>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</si>
  <si>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</si>
  <si>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</si>
  <si>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</si>
  <si>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</si>
  <si>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</si>
  <si>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</si>
  <si>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</si>
  <si>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</si>
  <si>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</si>
  <si>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</si>
  <si>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</si>
  <si>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</si>
  <si>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</si>
  <si>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</si>
  <si>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</si>
  <si>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</si>
  <si>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</si>
  <si>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</si>
  <si>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</si>
  <si>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</si>
  <si>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</si>
  <si>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</si>
  <si>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</si>
  <si>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</si>
  <si>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</si>
  <si>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</si>
  <si>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</si>
  <si>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</si>
  <si>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</si>
  <si>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</si>
  <si>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</si>
  <si>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</si>
  <si>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</si>
  <si>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</si>
  <si>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</si>
  <si>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</si>
  <si>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</si>
  <si>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</si>
  <si>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</si>
  <si>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</si>
  <si>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</si>
  <si>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</si>
  <si>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</si>
  <si>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</si>
  <si>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</si>
  <si>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</si>
  <si>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</si>
  <si>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</si>
  <si>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</si>
  <si>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</si>
  <si>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</si>
  <si>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</si>
  <si>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</si>
  <si>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</si>
  <si>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</si>
  <si>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</si>
  <si>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</si>
  <si>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</si>
  <si>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</si>
  <si>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</si>
  <si>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</si>
  <si>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</si>
  <si>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</si>
  <si>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</si>
  <si>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</si>
  <si>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</si>
  <si>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</si>
  <si>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</si>
  <si>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</si>
  <si>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</si>
  <si>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</si>
  <si>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</si>
  <si>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</si>
  <si>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</si>
  <si>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</si>
  <si>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</si>
  <si>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</si>
  <si>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</si>
  <si>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</si>
  <si>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</si>
  <si>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</si>
  <si>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</si>
  <si>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</si>
  <si>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</si>
  <si>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</si>
  <si>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</si>
  <si>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</si>
  <si>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</si>
  <si>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</si>
  <si>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</si>
  <si>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</si>
  <si>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</si>
  <si>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</si>
  <si>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</si>
  <si>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</si>
  <si>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</si>
  <si>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</si>
  <si>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</si>
  <si>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</si>
  <si>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</si>
  <si>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</si>
  <si>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</si>
  <si>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</si>
  <si>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</si>
  <si>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</si>
  <si>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</si>
  <si>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</si>
  <si>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</si>
  <si>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</si>
  <si>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</si>
  <si>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</si>
  <si>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</si>
  <si>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</si>
  <si>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</si>
  <si>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</si>
  <si>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</si>
  <si>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</si>
  <si>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</si>
  <si>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</si>
  <si>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</si>
  <si>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</si>
  <si>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</si>
  <si>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</si>
  <si>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</si>
  <si>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</si>
  <si>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</si>
  <si>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</si>
  <si>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</si>
  <si>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</si>
  <si>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</si>
  <si>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</si>
  <si>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</si>
  <si>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</si>
  <si>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</si>
  <si>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</si>
  <si>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</si>
  <si>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</si>
  <si>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</si>
  <si>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</si>
  <si>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</si>
  <si>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</si>
  <si>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</si>
  <si>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</si>
  <si>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</si>
  <si>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</si>
  <si>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</si>
  <si>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</si>
  <si>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</si>
  <si>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</si>
  <si>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</si>
  <si>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</si>
  <si>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</si>
  <si>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</si>
  <si>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</si>
  <si>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</si>
  <si>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</si>
  <si>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</si>
  <si>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</si>
  <si>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</si>
  <si>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</si>
  <si>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</si>
  <si>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</si>
  <si>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</si>
  <si>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</si>
  <si>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</si>
  <si>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</si>
  <si>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</si>
  <si>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</si>
  <si>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</si>
  <si>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</si>
  <si>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</si>
  <si>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</si>
  <si>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</si>
  <si>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</si>
  <si>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</si>
  <si>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</si>
  <si>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</si>
  <si>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</si>
  <si>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</si>
  <si>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</si>
  <si>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</si>
  <si>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</si>
  <si>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</si>
  <si>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</si>
  <si>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</si>
  <si>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</si>
  <si>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</si>
  <si>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</si>
  <si>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</si>
  <si>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</si>
  <si>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</si>
  <si>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</si>
  <si>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</si>
  <si>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</si>
  <si>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</si>
  <si>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</si>
  <si>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</si>
  <si>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</si>
  <si>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</si>
  <si>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</si>
  <si>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</si>
  <si>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</si>
  <si>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</si>
  <si>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</si>
  <si>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</si>
  <si>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</si>
  <si>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</si>
  <si>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</si>
  <si>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</si>
  <si>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</si>
  <si>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</si>
  <si>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</si>
  <si>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</si>
  <si>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</si>
  <si>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</si>
  <si>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</si>
  <si>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</si>
  <si>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</si>
  <si>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</si>
  <si>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</si>
  <si>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</si>
  <si>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</si>
  <si>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</si>
  <si>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</si>
  <si>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</si>
  <si>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</si>
  <si>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</si>
  <si>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</si>
  <si>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</si>
  <si>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</si>
  <si>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</si>
  <si>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</si>
  <si>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</si>
  <si>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</si>
  <si>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</si>
  <si>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</si>
  <si>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</si>
  <si>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</si>
  <si>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</si>
  <si>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</si>
  <si>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</si>
  <si>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</si>
  <si>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</si>
  <si>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</si>
  <si>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</si>
  <si>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</si>
  <si>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</si>
  <si>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</si>
  <si>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</si>
  <si>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</si>
  <si>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</si>
  <si>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</si>
  <si>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</si>
  <si>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</si>
  <si>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</si>
  <si>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</si>
  <si>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</si>
  <si>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</si>
  <si>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</si>
  <si>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</si>
  <si>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</si>
  <si>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</si>
  <si>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</si>
  <si>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</si>
  <si>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</si>
  <si>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</si>
  <si>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</si>
  <si>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</si>
  <si>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</si>
  <si>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</si>
  <si>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</si>
  <si>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</si>
  <si>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</si>
  <si>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</si>
  <si>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</si>
  <si>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</si>
  <si>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</si>
  <si>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</si>
  <si>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</si>
  <si>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</si>
  <si>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</si>
  <si>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</si>
  <si>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</si>
  <si>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</si>
  <si>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</si>
  <si>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</si>
  <si>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</si>
  <si>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</si>
  <si>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</si>
  <si>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</si>
  <si>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</si>
  <si>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</si>
  <si>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</si>
  <si>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</si>
  <si>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</si>
  <si>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</si>
  <si>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</si>
  <si>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</si>
  <si>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</si>
  <si>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</si>
  <si>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</si>
  <si>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</si>
  <si>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</si>
  <si>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</si>
  <si>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</si>
  <si>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</si>
  <si>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</si>
  <si>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</si>
  <si>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</si>
  <si>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</si>
  <si>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</si>
  <si>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</si>
  <si>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</si>
  <si>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</si>
  <si>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</si>
  <si>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</si>
  <si>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</si>
  <si>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</si>
  <si>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</si>
  <si>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</si>
  <si>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</si>
  <si>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</si>
  <si>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</si>
  <si>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</si>
  <si>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</si>
  <si>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</si>
  <si>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</si>
  <si>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</si>
  <si>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</si>
  <si>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</si>
  <si>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</si>
  <si>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</si>
  <si>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</si>
  <si>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</si>
  <si>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</si>
  <si>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</si>
  <si>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</si>
  <si>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</si>
  <si>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</si>
  <si>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</si>
  <si>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</si>
  <si>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</si>
  <si>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</si>
  <si>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</si>
  <si>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</si>
  <si>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</si>
  <si>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</si>
  <si>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</si>
  <si>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</si>
  <si>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</si>
  <si>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</si>
  <si>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</si>
  <si>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</si>
  <si>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</si>
  <si>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</si>
  <si>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</si>
  <si>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</si>
  <si>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</si>
  <si>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</si>
  <si>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</si>
  <si>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</si>
  <si>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</si>
  <si>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</si>
  <si>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</si>
  <si>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</si>
  <si>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</si>
  <si>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</si>
  <si>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</si>
  <si>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</si>
  <si>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</si>
  <si>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</si>
  <si>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</si>
  <si>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</si>
  <si>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</si>
  <si>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</si>
  <si>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</si>
  <si>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</si>
  <si>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</si>
  <si>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</si>
  <si>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</si>
  <si>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</si>
  <si>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</si>
  <si>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</si>
  <si>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</si>
  <si>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</si>
  <si>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</si>
  <si>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</si>
  <si>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</si>
  <si>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</si>
  <si>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</si>
  <si>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</si>
  <si>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</si>
  <si>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</si>
  <si>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</si>
  <si>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</si>
  <si>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</si>
  <si>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</si>
  <si>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</si>
  <si>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</si>
  <si>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</si>
  <si>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</si>
  <si>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</si>
  <si>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</si>
  <si>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</si>
  <si>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</si>
  <si>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</si>
  <si>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</si>
  <si>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</si>
  <si>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</si>
  <si>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</si>
  <si>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</si>
  <si>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</si>
  <si>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</si>
  <si>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</si>
  <si>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</si>
  <si>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</si>
  <si>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</si>
  <si>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</si>
  <si>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</si>
  <si>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</si>
  <si>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</si>
  <si>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</si>
  <si>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</si>
  <si>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</si>
  <si>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</si>
  <si>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</si>
  <si>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</si>
  <si>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</si>
  <si>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</si>
  <si>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</si>
  <si>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</si>
  <si>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</si>
  <si>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</si>
  <si>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</si>
  <si>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</si>
  <si>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</si>
  <si>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</si>
  <si>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</si>
  <si>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</si>
  <si>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</si>
  <si>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</si>
  <si>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</si>
  <si>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</si>
  <si>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</si>
  <si>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</si>
  <si>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</si>
  <si>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</si>
  <si>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</si>
  <si>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</si>
  <si>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</si>
  <si>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</si>
  <si>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</si>
  <si>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</si>
  <si>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</si>
  <si>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</si>
  <si>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</si>
  <si>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</si>
  <si>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</si>
  <si>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</si>
  <si>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</si>
  <si>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</si>
  <si>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</si>
  <si>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</si>
  <si>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</si>
  <si>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</si>
  <si>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</si>
  <si>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</si>
  <si>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</si>
  <si>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</si>
  <si>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</si>
  <si>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</si>
  <si>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</si>
  <si>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</si>
  <si>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</si>
  <si>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</si>
  <si>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</si>
  <si>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</si>
  <si>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</si>
  <si>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</si>
  <si>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</si>
  <si>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</si>
  <si>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</si>
  <si>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</si>
  <si>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</si>
  <si>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</si>
  <si>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</si>
  <si>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</si>
  <si>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</si>
  <si>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</si>
  <si>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</si>
  <si>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</si>
  <si>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</si>
  <si>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</si>
  <si>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</si>
  <si>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</si>
  <si>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</si>
  <si>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</si>
  <si>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</si>
  <si>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</si>
  <si>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</si>
  <si>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</si>
  <si>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</si>
  <si>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</si>
  <si>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</si>
  <si>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</si>
  <si>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</si>
  <si>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</si>
  <si>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</si>
  <si>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</si>
  <si>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</si>
  <si>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</si>
  <si>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</si>
  <si>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</si>
  <si>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</si>
  <si>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</si>
  <si>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</si>
  <si>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</si>
  <si>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</si>
  <si>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</si>
  <si>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</si>
  <si>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</si>
  <si>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</si>
  <si>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</si>
  <si>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</si>
  <si>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</si>
  <si>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</si>
  <si>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</si>
  <si>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</si>
  <si>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</si>
  <si>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</si>
  <si>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</si>
  <si>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</si>
  <si>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</si>
  <si>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</si>
  <si>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</si>
  <si>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</si>
  <si>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</si>
  <si>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</si>
  <si>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</si>
  <si>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</si>
  <si>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</si>
  <si>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</si>
  <si>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</si>
  <si>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</si>
  <si>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</si>
  <si>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</si>
  <si>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</si>
  <si>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</si>
  <si>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</si>
  <si>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</si>
  <si>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</si>
  <si>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</si>
  <si>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</si>
  <si>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</si>
  <si>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</si>
  <si>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</si>
  <si>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</si>
  <si>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</si>
  <si>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</si>
  <si>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</si>
  <si>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</si>
  <si>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</si>
  <si>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</si>
  <si>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</si>
  <si>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</si>
  <si>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</si>
  <si>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</si>
  <si>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</si>
  <si>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</si>
  <si>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</si>
  <si>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</si>
  <si>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</si>
  <si>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</si>
  <si>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</si>
  <si>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</si>
  <si>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</si>
  <si>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</si>
  <si>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</si>
  <si>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</si>
  <si>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</si>
  <si>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</si>
  <si>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</si>
  <si>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</si>
  <si>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</si>
  <si>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</si>
  <si>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</si>
  <si>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</si>
  <si>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</si>
  <si>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</si>
  <si>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</si>
  <si>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</si>
  <si>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</si>
  <si>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</si>
  <si>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</si>
  <si>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vinaigre au vin</t>
  </si>
  <si>
    <t>Contrôler l’étiquette : œuf, lait et sulfites peuvent être déclarés s’ils sont détectables.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</si>
</sst>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quot;Vrai&quot;;&quot;Vrai&quot;;&quot;Faux&quot;"/>
    <numFmt numFmtId="165" formatCode="&quot;Actif&quot;;&quot;Actif&quot;;&quot;Inactif&quot;"/>
    <numFmt numFmtId="166" formatCode="0.000&quot; Kg&quot;"/>
    <numFmt numFmtId="167" formatCode="[$-F800]dddd\,\ mmmm\ dd\,\ yyyy"/>
    <numFmt numFmtId="168" formatCode="&quot;=UNICAR(128269)&quot;"/>
    <numFmt numFmtId="169" formatCode="#,##0&quot; gr&quot;"/>
    <numFmt numFmtId="170" formatCode="#,##0.000&quot; kg&quot;"/>
    <numFmt numFmtId="171" formatCode="&quot;de &quot;#,##0.000&quot; kg&quot;"/>
    <numFmt numFmtId="172" formatCode="&quot;de &quot;0.00&quot; Kg&quot;"/>
    <numFmt numFmtId="173" formatCode="0.000\K\g"/>
    <numFmt numFmtId="174" formatCode="&quot;Poids portion&quot;\ 0.000&quot; Kg&quot;"/>
    <numFmt numFmtId="175" formatCode="#,##0&quot; cl&quot;"/>
    <numFmt numFmtId="176" formatCode="0.00\ &quot; cm³&quot;"/>
    <numFmt numFmtId="177" formatCode="0.000\ &quot; dm³&quot;"/>
    <numFmt numFmtId="178" formatCode="0.000&quot; L&quot;"/>
    <numFmt numFmtId="179" formatCode="0&quot; lignes&quot;"/>
    <numFmt numFmtId="180" formatCode="0&quot; jours&quot;"/>
    <numFmt numFmtId="181" formatCode="0&quot; H&quot;"/>
    <numFmt numFmtId="182" formatCode="0.0&quot; %&quot;"/>
    <numFmt numFmtId="183" formatCode="&quot;N° &quot;0"/>
    <numFmt numFmtId="184" formatCode="&quot;Col.&quot;0"/>
    <numFmt numFmtId="185" formatCode="0.0&quot; mm&quot;"/>
    <numFmt numFmtId="186" formatCode="0.00&quot; cm&quot;"/>
    <numFmt numFmtId="187" formatCode="0.00\ &quot; cm²&quot;"/>
    <numFmt numFmtId="188" formatCode="0.00&quot; Kg&quot;"/>
    <numFmt numFmtId="189" formatCode="0&quot;%&quot;"/>
    <numFmt numFmtId="190" formatCode="0.0&quot; Kg&quot;"/>
    <numFmt numFmtId="191" formatCode="0.0"/>
    <numFmt numFmtId="192" formatCode="&quot;de &quot;0"/>
    <numFmt numFmtId="193" formatCode="#,##0.00\ &quot;€&quot;"/>
    <numFmt numFmtId="194" formatCode="0.00&quot;Kg&quot;"/>
    <numFmt numFmtId="195" formatCode="0.0%"/>
    <numFmt numFmtId="196" formatCode="0.000&quot;Kg&quot;"/>
    <numFmt numFmtId="197" formatCode="0.000"/>
    <numFmt numFmtId="198" formatCode="0.0000"/>
  </numFmts>
  <fonts count="159" x14ac:knownFonts="1">
    <font>
      <sz val="11"/>
      <name val="Carlito"/>
    </font>
    <font>
      <sz val="11"/>
      <color theme="1"/>
      <name val="Calibri"/>
      <family val="2"/>
      <scheme val="minor"/>
    </font>
    <font>
      <b/>
      <sz val="14"/>
      <color rgb="FF1F2937"/>
      <name val="Calibri"/>
      <family val="2"/>
    </font>
    <font>
      <sz val="12"/>
      <name val="Calibri"/>
      <family val="2"/>
    </font>
    <font>
      <sz val="12"/>
      <color rgb="FF1F2937"/>
      <name val="Calibri"/>
      <family val="2"/>
    </font>
    <font>
      <b/>
      <sz val="12"/>
      <color rgb="FF1F2937"/>
      <name val="Calibri"/>
      <family val="2"/>
    </font>
    <font>
      <sz val="11"/>
      <name val="Calibri"/>
      <family val="2"/>
    </font>
    <font>
      <sz val="9"/>
      <color rgb="FF777777"/>
      <name val="Calibri"/>
      <family val="2"/>
    </font>
    <font>
      <b/>
      <sz val="12"/>
      <color rgb="FFC00000"/>
      <name val="Calibri"/>
      <family val="2"/>
    </font>
    <font>
      <b/>
      <sz val="12"/>
      <color rgb="FF000000"/>
      <name val="Calibri"/>
      <family val="2"/>
    </font>
    <font>
      <sz val="11"/>
      <color theme="1"/>
      <name val="Calibri"/>
      <family val="2"/>
    </font>
    <font>
      <b/>
      <sz val="12"/>
      <name val="Calibri"/>
      <family val="2"/>
    </font>
    <font>
      <sz val="12"/>
      <color rgb="FF0033CC"/>
      <name val="Calibri"/>
      <family val="2"/>
    </font>
    <font>
      <sz val="12"/>
      <color rgb="FFC00000"/>
      <name val="Calibri"/>
      <family val="2"/>
    </font>
    <font>
      <b/>
      <sz val="12"/>
      <color rgb="FF1F2937"/>
      <name val="Aptos"/>
      <family val="2"/>
    </font>
    <font>
      <b/>
      <sz val="10"/>
      <color rgb="FF777777"/>
      <name val="Calibri"/>
      <family val="2"/>
    </font>
    <font>
      <b/>
      <sz val="9"/>
      <color rgb="FF777777"/>
      <name val="Calibri"/>
      <family val="2"/>
    </font>
    <font>
      <b/>
      <sz val="14"/>
      <name val="Calibri"/>
      <family val="2"/>
    </font>
    <font>
      <sz val="10"/>
      <name val="Arial"/>
      <family val="2"/>
    </font>
    <font>
      <b/>
      <sz val="10"/>
      <name val="Calibri"/>
      <family val="2"/>
    </font>
    <font>
      <b/>
      <sz val="18"/>
      <color theme="0"/>
      <name val="Calibri"/>
      <family val="2"/>
    </font>
    <font>
      <b/>
      <sz val="14"/>
      <color theme="0"/>
      <name val="Calibri"/>
      <family val="2"/>
    </font>
    <font>
      <sz val="12"/>
      <color theme="0"/>
      <name val="Calibri"/>
      <family val="2"/>
    </font>
    <font>
      <sz val="14"/>
      <color theme="0"/>
      <name val="Calibri"/>
      <family val="2"/>
    </font>
    <font>
      <b/>
      <sz val="12"/>
      <color theme="0"/>
      <name val="Calibri"/>
      <family val="2"/>
    </font>
    <font>
      <b/>
      <sz val="11"/>
      <name val="Calibri"/>
      <family val="2"/>
    </font>
    <font>
      <b/>
      <sz val="14"/>
      <color rgb="FFFF0000"/>
      <name val="Calibri"/>
      <family val="2"/>
    </font>
    <font>
      <b/>
      <sz val="22"/>
      <color rgb="FFC00000"/>
      <name val="Calibri"/>
      <family val="2"/>
    </font>
    <font>
      <sz val="11"/>
      <name val="Carlito"/>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name val="Calibri"/>
      <family val="2"/>
      <scheme val="minor"/>
    </font>
    <font>
      <b/>
      <sz val="14"/>
      <color rgb="FF1F2937"/>
      <name val="Calibri"/>
      <family val="2"/>
      <scheme val="minor"/>
    </font>
    <font>
      <sz val="12"/>
      <color rgb="FF1F2937"/>
      <name val="Calibri"/>
      <family val="2"/>
      <scheme val="minor"/>
    </font>
    <font>
      <b/>
      <sz val="12"/>
      <color rgb="FF1F2937"/>
      <name val="Calibri"/>
      <family val="2"/>
      <scheme val="minor"/>
    </font>
    <font>
      <b/>
      <sz val="12"/>
      <name val="Calibri"/>
      <family val="2"/>
      <scheme val="minor"/>
    </font>
    <font>
      <b/>
      <sz val="14"/>
      <name val="Calibri"/>
      <family val="2"/>
      <scheme val="minor"/>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sz val="8"/>
      <color theme="0"/>
      <name val="Calibri"/>
      <family val="2"/>
      <scheme val="minor"/>
    </font>
    <font>
      <b/>
      <sz val="11"/>
      <color indexed="9"/>
      <name val="Calibri"/>
      <family val="2"/>
      <scheme val="minor"/>
    </font>
    <font>
      <b/>
      <sz val="1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0"/>
      <color rgb="FF111827"/>
      <name val="Calibri"/>
      <family val="2"/>
    </font>
    <font>
      <sz val="11"/>
      <name val="Calibri"/>
      <family val="2"/>
      <scheme val="minor"/>
    </font>
    <font>
      <sz val="14"/>
      <name val="Segoe Print"/>
    </font>
    <font>
      <sz val="14"/>
      <name val="Calibri"/>
      <family val="2"/>
      <scheme val="minor"/>
    </font>
    <font>
      <b/>
      <sz val="14"/>
      <name val="Segoe Print"/>
    </font>
    <font>
      <i/>
      <sz val="11"/>
      <name val="Calibri"/>
      <family val="2"/>
      <scheme val="minor"/>
    </font>
    <font>
      <b/>
      <i/>
      <sz val="14"/>
      <name val="Calibri"/>
      <family val="2"/>
      <scheme val="minor"/>
    </font>
    <font>
      <u/>
      <sz val="11"/>
      <color theme="10"/>
      <name val="Calibri"/>
      <family val="2"/>
      <scheme val="minor"/>
    </font>
    <font>
      <u/>
      <sz val="14"/>
      <color theme="10"/>
      <name val="Calibri"/>
      <family val="2"/>
      <scheme val="minor"/>
    </font>
    <font>
      <sz val="18"/>
      <color rgb="FF0000FF"/>
      <name val="Calibri"/>
      <family val="2"/>
      <scheme val="minor"/>
    </font>
    <font>
      <sz val="12"/>
      <color theme="1"/>
      <name val="Calibri"/>
      <family val="2"/>
      <scheme val="minor"/>
    </font>
    <font>
      <b/>
      <sz val="10"/>
      <color theme="0"/>
      <name val="Calibri"/>
      <family val="2"/>
      <scheme val="minor"/>
    </font>
    <font>
      <b/>
      <sz val="14"/>
      <color theme="1"/>
      <name val="Calibri"/>
      <family val="2"/>
      <scheme val="minor"/>
    </font>
    <font>
      <sz val="9"/>
      <color theme="0"/>
      <name val="Calibri"/>
      <family val="2"/>
      <scheme val="minor"/>
    </font>
    <font>
      <b/>
      <sz val="12"/>
      <color theme="0"/>
      <name val="Calibri"/>
      <family val="2"/>
      <scheme val="minor"/>
    </font>
    <font>
      <sz val="11"/>
      <color theme="4" tint="0.39997558519241921"/>
      <name val="Calibri"/>
      <family val="2"/>
      <scheme val="minor"/>
    </font>
    <font>
      <b/>
      <sz val="12"/>
      <color rgb="FF0000FF"/>
      <name val="Calibri"/>
      <family val="2"/>
      <scheme val="minor"/>
    </font>
    <font>
      <b/>
      <sz val="12"/>
      <color theme="9" tint="-0.249977111117893"/>
      <name val="Calibri"/>
      <family val="2"/>
      <scheme val="minor"/>
    </font>
    <font>
      <b/>
      <sz val="12"/>
      <color theme="1"/>
      <name val="Calibri"/>
      <family val="2"/>
      <scheme val="minor"/>
    </font>
    <font>
      <b/>
      <sz val="12"/>
      <color rgb="FFFF0000"/>
      <name val="Calibri"/>
      <family val="2"/>
      <scheme val="minor"/>
    </font>
    <font>
      <u/>
      <sz val="12"/>
      <color theme="10"/>
      <name val="Calibri"/>
      <family val="2"/>
      <scheme val="minor"/>
    </font>
    <font>
      <sz val="12"/>
      <color theme="9" tint="-0.249977111117893"/>
      <name val="Calibri"/>
      <family val="2"/>
      <scheme val="minor"/>
    </font>
    <font>
      <sz val="11"/>
      <color theme="9" tint="-0.249977111117893"/>
      <name val="Calibri"/>
      <family val="2"/>
      <scheme val="minor"/>
    </font>
    <font>
      <sz val="10"/>
      <name val="Calibri"/>
      <family val="2"/>
      <scheme val="minor"/>
    </font>
    <font>
      <b/>
      <sz val="8"/>
      <name val="Calibri"/>
      <family val="2"/>
      <scheme val="minor"/>
    </font>
    <font>
      <sz val="8"/>
      <color theme="1"/>
      <name val="Calibri"/>
      <family val="2"/>
      <scheme val="minor"/>
    </font>
    <font>
      <sz val="11"/>
      <color rgb="FF0033CC"/>
      <name val="Calibri"/>
      <family val="2"/>
      <scheme val="minor"/>
    </font>
    <font>
      <sz val="10"/>
      <color theme="1"/>
      <name val="Calibri"/>
      <family val="2"/>
      <scheme val="minor"/>
    </font>
    <font>
      <b/>
      <sz val="11"/>
      <color rgb="FF7030A0"/>
      <name val="Calibri"/>
      <family val="2"/>
      <scheme val="minor"/>
    </font>
    <font>
      <b/>
      <sz val="14"/>
      <color rgb="FF7030A0"/>
      <name val="Calibri"/>
      <family val="2"/>
      <scheme val="minor"/>
    </font>
    <font>
      <b/>
      <u/>
      <sz val="14"/>
      <color theme="10"/>
      <name val="Calibri"/>
      <family val="2"/>
      <scheme val="minor"/>
    </font>
    <font>
      <sz val="11"/>
      <color rgb="FF0070C0"/>
      <name val="Calibri"/>
      <family val="2"/>
      <scheme val="minor"/>
    </font>
    <font>
      <sz val="11"/>
      <color theme="1"/>
      <name val="Segoe Print"/>
    </font>
    <font>
      <sz val="26"/>
      <color theme="7" tint="-0.249977111117893"/>
      <name val="Calibri"/>
      <family val="2"/>
      <scheme val="minor"/>
    </font>
    <font>
      <b/>
      <sz val="22"/>
      <color theme="9" tint="-0.249977111117893"/>
      <name val="Calibri"/>
      <family val="2"/>
      <scheme val="minor"/>
    </font>
    <font>
      <sz val="8"/>
      <name val="Arial"/>
      <family val="2"/>
    </font>
    <font>
      <b/>
      <sz val="10"/>
      <color theme="9" tint="-0.499984740745262"/>
      <name val="Calibri"/>
      <family val="2"/>
      <scheme val="minor"/>
    </font>
    <font>
      <sz val="10"/>
      <color theme="9" tint="-0.499984740745262"/>
      <name val="Calibri"/>
      <family val="2"/>
      <scheme val="minor"/>
    </font>
    <font>
      <b/>
      <sz val="10"/>
      <color theme="5" tint="-0.249977111117893"/>
      <name val="Calibri"/>
      <family val="2"/>
      <scheme val="minor"/>
    </font>
    <font>
      <sz val="18"/>
      <color rgb="FF0070C0"/>
      <name val="Calibri"/>
      <family val="2"/>
      <scheme val="minor"/>
    </font>
    <font>
      <b/>
      <sz val="18"/>
      <color theme="1"/>
      <name val="Calibri"/>
      <family val="2"/>
      <scheme val="minor"/>
    </font>
    <font>
      <b/>
      <sz val="10"/>
      <color theme="1"/>
      <name val="Calibri"/>
      <family val="2"/>
      <scheme val="minor"/>
    </font>
    <font>
      <sz val="11"/>
      <color theme="10"/>
      <name val="Calibri"/>
      <family val="2"/>
      <scheme val="minor"/>
    </font>
    <font>
      <sz val="9"/>
      <name val="Calibri"/>
      <family val="2"/>
      <scheme val="minor"/>
    </font>
    <font>
      <sz val="18"/>
      <color theme="1"/>
      <name val="Calibri"/>
      <family val="2"/>
      <scheme val="minor"/>
    </font>
    <font>
      <sz val="10"/>
      <name val="MS Sans Serif"/>
      <family val="2"/>
    </font>
    <font>
      <b/>
      <sz val="14"/>
      <color rgb="FF0000FF"/>
      <name val="Calibri"/>
      <family val="2"/>
      <scheme val="minor"/>
    </font>
    <font>
      <sz val="10"/>
      <color rgb="FF800000"/>
      <name val="Calibri"/>
      <family val="2"/>
      <scheme val="minor"/>
    </font>
    <font>
      <b/>
      <sz val="11"/>
      <color rgb="FF800000"/>
      <name val="Calibri"/>
      <family val="2"/>
      <scheme val="minor"/>
    </font>
    <font>
      <sz val="8"/>
      <color theme="0" tint="-0.499984740745262"/>
      <name val="Calibri"/>
      <family val="2"/>
      <scheme val="minor"/>
    </font>
    <font>
      <sz val="10"/>
      <color rgb="FFC00000"/>
      <name val="Calibri"/>
      <family val="2"/>
      <scheme val="minor"/>
    </font>
    <font>
      <b/>
      <sz val="11"/>
      <color rgb="FFC00000"/>
      <name val="Calibri"/>
      <family val="2"/>
      <scheme val="minor"/>
    </font>
    <font>
      <sz val="10"/>
      <color theme="1" tint="0.499984740745262"/>
      <name val="Calibri"/>
      <family val="2"/>
      <scheme val="minor"/>
    </font>
    <font>
      <b/>
      <sz val="11"/>
      <color theme="9" tint="-0.499984740745262"/>
      <name val="Calibri"/>
      <family val="2"/>
      <scheme val="minor"/>
    </font>
    <font>
      <sz val="10"/>
      <color theme="9" tint="-0.249977111117893"/>
      <name val="Calibri"/>
      <family val="2"/>
      <scheme val="minor"/>
    </font>
    <font>
      <sz val="10"/>
      <color theme="1" tint="0.34998626667073579"/>
      <name val="Calibri"/>
      <family val="2"/>
      <scheme val="minor"/>
    </font>
    <font>
      <sz val="11"/>
      <color theme="1" tint="0.34998626667073579"/>
      <name val="Calibri"/>
      <family val="2"/>
      <scheme val="minor"/>
    </font>
    <font>
      <sz val="11"/>
      <color theme="9" tint="-0.499984740745262"/>
      <name val="Calibri"/>
      <family val="2"/>
      <scheme val="minor"/>
    </font>
    <font>
      <sz val="11"/>
      <color theme="1" tint="0.499984740745262"/>
      <name val="Calibri"/>
      <family val="2"/>
      <scheme val="minor"/>
    </font>
    <font>
      <b/>
      <sz val="11"/>
      <name val="Calibri"/>
      <family val="2"/>
      <scheme val="minor"/>
    </font>
    <font>
      <sz val="10"/>
      <color rgb="FF0000FF"/>
      <name val="Calibri"/>
      <family val="2"/>
      <scheme val="minor"/>
    </font>
    <font>
      <b/>
      <sz val="10"/>
      <color rgb="FF7030A0"/>
      <name val="Calibri"/>
      <family val="2"/>
      <scheme val="minor"/>
    </font>
    <font>
      <b/>
      <sz val="10"/>
      <color rgb="FFC00000"/>
      <name val="Calibri"/>
      <family val="2"/>
      <scheme val="minor"/>
    </font>
    <font>
      <b/>
      <sz val="10"/>
      <color theme="9" tint="-0.249977111117893"/>
      <name val="Calibri"/>
      <family val="2"/>
      <scheme val="minor"/>
    </font>
    <font>
      <b/>
      <sz val="14"/>
      <color theme="0"/>
      <name val="Calibri"/>
      <family val="2"/>
      <scheme val="minor"/>
    </font>
    <font>
      <b/>
      <sz val="18"/>
      <color theme="0"/>
      <name val="Calibri"/>
      <family val="2"/>
      <scheme val="minor"/>
    </font>
    <font>
      <sz val="12"/>
      <color theme="9" tint="-0.499984740745262"/>
      <name val="Calibri"/>
      <family val="2"/>
      <scheme val="minor"/>
    </font>
    <font>
      <sz val="18"/>
      <color theme="0"/>
      <name val="Calibri"/>
      <family val="2"/>
      <scheme val="minor"/>
    </font>
    <font>
      <sz val="12"/>
      <color theme="0"/>
      <name val="Calibri"/>
      <family val="2"/>
      <scheme val="minor"/>
    </font>
    <font>
      <b/>
      <sz val="12"/>
      <color theme="5" tint="-0.499984740745262"/>
      <name val="Calibri"/>
      <family val="2"/>
      <scheme val="minor"/>
    </font>
    <font>
      <b/>
      <sz val="12"/>
      <color rgb="FFC00000"/>
      <name val="Calibri"/>
      <family val="2"/>
      <scheme val="minor"/>
    </font>
    <font>
      <b/>
      <sz val="11"/>
      <color theme="9" tint="-0.249977111117893"/>
      <name val="Calibri"/>
      <family val="2"/>
      <scheme val="minor"/>
    </font>
    <font>
      <sz val="10"/>
      <color rgb="FF808080"/>
      <name val="Calibri"/>
      <family val="2"/>
      <scheme val="minor"/>
    </font>
    <font>
      <sz val="11"/>
      <color rgb="FF800000"/>
      <name val="Calibri"/>
      <family val="2"/>
      <scheme val="minor"/>
    </font>
    <font>
      <b/>
      <sz val="12"/>
      <color rgb="FF800000"/>
      <name val="Calibri"/>
      <family val="2"/>
      <scheme val="minor"/>
    </font>
    <font>
      <sz val="8"/>
      <color rgb="FF808080"/>
      <name val="Calibri"/>
      <family val="2"/>
      <scheme val="minor"/>
    </font>
    <font>
      <sz val="9"/>
      <color theme="1"/>
      <name val="Calibri"/>
      <family val="2"/>
      <scheme val="minor"/>
    </font>
    <font>
      <b/>
      <sz val="10"/>
      <color rgb="FF0000FF"/>
      <name val="Calibri"/>
      <family val="2"/>
      <scheme val="minor"/>
    </font>
    <font>
      <sz val="10"/>
      <color rgb="FF7030A0"/>
      <name val="Calibri"/>
      <family val="2"/>
      <scheme val="minor"/>
    </font>
    <font>
      <b/>
      <sz val="12"/>
      <color rgb="FF7030A0"/>
      <name val="Calibri"/>
      <family val="2"/>
      <scheme val="minor"/>
    </font>
    <font>
      <b/>
      <sz val="10"/>
      <color indexed="10"/>
      <name val="Calibri"/>
      <family val="2"/>
      <scheme val="minor"/>
    </font>
    <font>
      <sz val="11"/>
      <color indexed="10"/>
      <name val="Calibri"/>
      <family val="2"/>
      <scheme val="minor"/>
    </font>
    <font>
      <b/>
      <sz val="10"/>
      <color indexed="12"/>
      <name val="Calibri"/>
      <family val="2"/>
      <scheme val="minor"/>
    </font>
    <font>
      <sz val="11"/>
      <color indexed="12"/>
      <name val="Calibri"/>
      <family val="2"/>
      <scheme val="minor"/>
    </font>
    <font>
      <sz val="12"/>
      <color indexed="12"/>
      <name val="Calibri"/>
      <family val="2"/>
      <scheme val="minor"/>
    </font>
    <font>
      <b/>
      <sz val="11"/>
      <color indexed="12"/>
      <name val="Calibri"/>
      <family val="2"/>
      <scheme val="minor"/>
    </font>
    <font>
      <b/>
      <sz val="10"/>
      <color rgb="FF0070C0"/>
      <name val="Calibri"/>
      <family val="2"/>
      <scheme val="minor"/>
    </font>
    <font>
      <b/>
      <sz val="16"/>
      <name val="Calibri"/>
      <family val="2"/>
      <scheme val="minor"/>
    </font>
    <font>
      <b/>
      <sz val="12"/>
      <color indexed="10"/>
      <name val="Calibri"/>
      <family val="2"/>
      <scheme val="minor"/>
    </font>
    <font>
      <b/>
      <sz val="16"/>
      <color rgb="FF0070C0"/>
      <name val="Calibri"/>
      <family val="2"/>
      <scheme val="minor"/>
    </font>
    <font>
      <b/>
      <sz val="12"/>
      <color indexed="12"/>
      <name val="Calibri"/>
      <family val="2"/>
      <scheme val="minor"/>
    </font>
    <font>
      <sz val="8"/>
      <name val="Calibri"/>
      <family val="2"/>
      <scheme val="minor"/>
    </font>
    <font>
      <b/>
      <sz val="12"/>
      <color rgb="FF0070C0"/>
      <name val="Calibri"/>
      <family val="2"/>
      <scheme val="minor"/>
    </font>
    <font>
      <b/>
      <sz val="10"/>
      <color rgb="FFFF0000"/>
      <name val="Calibri"/>
      <family val="2"/>
      <scheme val="minor"/>
    </font>
    <font>
      <b/>
      <sz val="20"/>
      <color rgb="FFC00000"/>
      <name val="Calibri"/>
      <family val="2"/>
    </font>
    <font>
      <sz val="8"/>
      <name val="Carlito"/>
      <family val="2"/>
    </font>
    <font>
      <b/>
      <sz val="14"/>
      <color rgb="FFFFFFFF"/>
      <name val="Calibri"/>
      <family val="2"/>
    </font>
    <font>
      <sz val="12"/>
      <color theme="1"/>
      <name val="Calibri"/>
      <family val="2"/>
    </font>
    <font>
      <b/>
      <sz val="14"/>
      <color rgb="FFFF0000"/>
      <name val="Carlito"/>
      <family val="2"/>
    </font>
    <font>
      <sz val="10"/>
      <color theme="0"/>
      <name val="Calibri"/>
      <family val="2"/>
    </font>
    <font>
      <b/>
      <sz val="16"/>
      <color theme="1"/>
      <name val="Calibri"/>
      <family val="2"/>
    </font>
    <font>
      <b/>
      <sz val="12"/>
      <color theme="1"/>
      <name val="Calibri"/>
      <family val="2"/>
    </font>
    <font>
      <b/>
      <sz val="20"/>
      <color rgb="FFFFFFFF"/>
      <name val="Calibri"/>
      <family val="2"/>
    </font>
    <font>
      <b/>
      <sz val="11"/>
      <color rgb="FFFFFFFF"/>
      <name val="Calibri"/>
      <family val="2"/>
    </font>
    <font>
      <sz val="10"/>
      <name val="Calibri"/>
      <family val="2"/>
    </font>
    <font>
      <b/>
      <sz val="12"/>
      <color rgb="FFFFFFFF"/>
      <name val="Calibri"/>
      <family val="2"/>
    </font>
    <font>
      <i/>
      <sz val="12"/>
      <name val="Calibri"/>
      <family val="2"/>
    </font>
    <font>
      <i/>
      <sz val="10"/>
      <name val="Calibri"/>
      <family val="2"/>
    </font>
    <font>
      <b/>
      <sz val="14"/>
      <color theme="6" tint="-0.49995422223578601"/>
      <name val="Calibri"/>
      <family val="2"/>
    </font>
    <font>
      <b/>
      <sz val="9"/>
      <color rgb="FFFFFFFF"/>
      <name val="Calibri"/>
      <family val="2"/>
    </font>
  </fonts>
  <fills count="78">
    <fill>
      <patternFill patternType="none"/>
    </fill>
    <fill>
      <patternFill patternType="gray125"/>
    </fill>
    <fill>
      <patternFill patternType="solid">
        <fgColor rgb="FFF7F8FA"/>
      </patternFill>
    </fill>
    <fill>
      <patternFill patternType="solid">
        <fgColor rgb="FFD9EAF7"/>
      </patternFill>
    </fill>
    <fill>
      <patternFill patternType="solid">
        <fgColor rgb="FFFFFFFF"/>
      </patternFill>
    </fill>
    <fill>
      <patternFill patternType="solid">
        <fgColor rgb="FFFFFFCC"/>
      </patternFill>
    </fill>
    <fill>
      <patternFill patternType="solid">
        <fgColor theme="0"/>
      </patternFill>
    </fill>
    <fill>
      <patternFill patternType="solid">
        <fgColor rgb="FFCAEDFB"/>
      </patternFill>
    </fill>
    <fill>
      <patternFill patternType="solid">
        <fgColor theme="0" tint="-0.14999847407452621"/>
        <bgColor indexed="65"/>
      </patternFill>
    </fill>
    <fill>
      <patternFill patternType="solid">
        <fgColor rgb="FF0070C0"/>
      </patternFill>
    </fill>
    <fill>
      <patternFill patternType="solid">
        <fgColor rgb="FF29A3FF"/>
      </patternFill>
    </fill>
    <fill>
      <patternFill patternType="solid">
        <fgColor rgb="FFFFF2CC"/>
      </patternFill>
    </fill>
    <fill>
      <patternFill patternType="solid">
        <fgColor theme="9" tint="0.79995117038483843"/>
        <bgColor indexed="65"/>
      </patternFill>
    </fill>
    <fill>
      <patternFill patternType="solid">
        <fgColor rgb="FFD9EAF7"/>
      </patternFill>
    </fill>
    <fill>
      <patternFill patternType="solid">
        <fgColor rgb="FFD9EAF7"/>
        <bgColor indexed="64"/>
      </patternFill>
    </fill>
    <fill>
      <patternFill patternType="solid">
        <fgColor rgb="FFDAF2D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CC00FF"/>
        <bgColor indexed="64"/>
      </patternFill>
    </fill>
    <fill>
      <patternFill patternType="solid">
        <fgColor rgb="FFED7D31"/>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theme="0" tint="-0.14999847407452621"/>
        <bgColor indexed="64"/>
      </patternFill>
    </fill>
    <fill>
      <patternFill patternType="solid">
        <fgColor rgb="FF99CC00"/>
        <bgColor indexed="64"/>
      </patternFill>
    </fill>
    <fill>
      <patternFill patternType="solid">
        <fgColor rgb="FFCCCCFF"/>
        <bgColor indexed="64"/>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9"/>
      </patternFill>
    </fill>
    <fill>
      <patternFill patternType="solid">
        <fgColor rgb="FFFFFFCC"/>
        <bgColor indexed="64"/>
      </patternFill>
    </fill>
    <fill>
      <patternFill patternType="solid">
        <fgColor rgb="FFA4DE00"/>
        <bgColor indexed="64"/>
      </patternFill>
    </fill>
    <fill>
      <patternFill patternType="solid">
        <fgColor rgb="FFF1E8F8"/>
        <bgColor indexed="64"/>
      </patternFill>
    </fill>
    <fill>
      <patternFill patternType="solid">
        <fgColor rgb="FFFF0000"/>
        <bgColor indexed="64"/>
      </patternFill>
    </fill>
    <fill>
      <patternFill patternType="solid">
        <fgColor rgb="FFFFFFAF"/>
        <bgColor indexed="9"/>
      </patternFill>
    </fill>
    <fill>
      <patternFill patternType="solid">
        <fgColor rgb="FFFFFFCC"/>
        <bgColor indexed="9"/>
      </patternFill>
    </fill>
    <fill>
      <patternFill patternType="solid">
        <fgColor rgb="FFFFFFAF"/>
        <bgColor indexed="64"/>
      </patternFill>
    </fill>
    <fill>
      <patternFill patternType="solid">
        <fgColor rgb="FFFFFFAF"/>
        <bgColor theme="0"/>
      </patternFill>
    </fill>
    <fill>
      <patternFill patternType="solid">
        <fgColor theme="0"/>
        <bgColor theme="0"/>
      </patternFill>
    </fill>
    <fill>
      <patternFill patternType="solid">
        <fgColor rgb="FFC65911"/>
        <bgColor indexed="64"/>
      </patternFill>
    </fill>
    <fill>
      <patternFill patternType="solid">
        <fgColor rgb="FF800000"/>
        <bgColor indexed="64"/>
      </patternFill>
    </fill>
    <fill>
      <patternFill patternType="solid">
        <fgColor rgb="FFFFFFCC"/>
        <bgColor theme="0"/>
      </patternFill>
    </fill>
    <fill>
      <patternFill patternType="solid">
        <fgColor theme="5" tint="-0.249977111117893"/>
        <bgColor indexed="64"/>
      </patternFill>
    </fill>
    <fill>
      <patternFill patternType="solid">
        <fgColor rgb="FFBF95DF"/>
        <bgColor indexed="64"/>
      </patternFill>
    </fill>
    <fill>
      <patternFill patternType="solid">
        <fgColor rgb="FFF1E8F8"/>
        <bgColor indexed="9"/>
      </patternFill>
    </fill>
    <fill>
      <patternFill patternType="solid">
        <fgColor rgb="FFE8D9F3"/>
        <bgColor indexed="64"/>
      </patternFill>
    </fill>
    <fill>
      <patternFill patternType="solid">
        <fgColor indexed="42"/>
        <bgColor indexed="64"/>
      </patternFill>
    </fill>
    <fill>
      <patternFill patternType="solid">
        <fgColor rgb="FFCCFFCC"/>
        <bgColor indexed="64"/>
      </patternFill>
    </fill>
    <fill>
      <patternFill patternType="solid">
        <fgColor theme="7" tint="0.39997558519241921"/>
        <bgColor indexed="64"/>
      </patternFill>
    </fill>
    <fill>
      <patternFill patternType="solid">
        <fgColor indexed="26"/>
        <bgColor indexed="64"/>
      </patternFill>
    </fill>
    <fill>
      <patternFill patternType="solid">
        <fgColor indexed="9"/>
        <bgColor indexed="64"/>
      </patternFill>
    </fill>
    <fill>
      <patternFill patternType="solid">
        <fgColor theme="0" tint="-0.14999847407452621"/>
        <bgColor theme="0"/>
      </patternFill>
    </fill>
    <fill>
      <patternFill patternType="solid">
        <fgColor theme="0" tint="-0.14996795556505021"/>
        <bgColor indexed="64"/>
      </patternFill>
    </fill>
    <fill>
      <patternFill patternType="solid">
        <fgColor theme="0" tint="-0.1499374370555742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0070C0"/>
        <bgColor indexed="64"/>
      </patternFill>
    </fill>
    <fill>
      <patternFill patternType="solid">
        <fgColor rgb="FF29A3FF"/>
        <bgColor indexed="64"/>
      </patternFill>
    </fill>
    <fill>
      <patternFill patternType="solid">
        <fgColor rgb="FF244062"/>
      </patternFill>
    </fill>
    <fill>
      <patternFill patternType="solid">
        <fgColor rgb="FFC00000"/>
      </patternFill>
    </fill>
    <fill>
      <patternFill patternType="solid">
        <fgColor rgb="FF14A096"/>
        <bgColor indexed="64"/>
      </patternFill>
    </fill>
    <fill>
      <patternFill patternType="solid">
        <fgColor rgb="FFFFF6DD"/>
        <bgColor indexed="64"/>
      </patternFill>
    </fill>
    <fill>
      <patternFill patternType="solid">
        <fgColor rgb="FFF2F2F2"/>
      </patternFill>
    </fill>
    <fill>
      <patternFill patternType="solid">
        <fgColor rgb="FF17365D"/>
      </patternFill>
    </fill>
    <fill>
      <patternFill patternType="solid">
        <fgColor rgb="FF548235"/>
      </patternFill>
    </fill>
    <fill>
      <patternFill patternType="solid">
        <fgColor rgb="FF2F75B5"/>
      </patternFill>
    </fill>
    <fill>
      <patternFill patternType="solid">
        <fgColor rgb="FF1AA39A"/>
      </patternFill>
    </fill>
    <fill>
      <patternFill patternType="solid">
        <fgColor rgb="FFE2F0D9"/>
      </patternFill>
    </fill>
    <fill>
      <patternFill patternType="solid">
        <fgColor rgb="FF1F4E78"/>
      </patternFill>
    </fill>
    <fill>
      <patternFill patternType="solid">
        <fgColor rgb="FF609ED6"/>
      </patternFill>
    </fill>
    <fill>
      <patternFill patternType="solid">
        <fgColor rgb="FF666666"/>
      </patternFill>
    </fill>
    <fill>
      <patternFill patternType="solid">
        <fgColor rgb="FFFCE4D6"/>
      </patternFill>
    </fill>
    <fill>
      <patternFill patternType="solid">
        <fgColor rgb="FF5B9BD5"/>
      </patternFill>
    </fill>
  </fills>
  <borders count="120">
    <border>
      <left/>
      <right/>
      <top/>
      <bottom/>
      <diagonal/>
    </border>
    <border>
      <left/>
      <right/>
      <top/>
      <bottom/>
      <diagonal/>
    </border>
    <border>
      <left style="thin">
        <color rgb="FFC7D7EA"/>
      </left>
      <right/>
      <top style="thin">
        <color rgb="FFC7D7EA"/>
      </top>
      <bottom style="thin">
        <color rgb="FFC7D7EA"/>
      </bottom>
      <diagonal/>
    </border>
    <border>
      <left/>
      <right/>
      <top style="thin">
        <color rgb="FFC7D7EA"/>
      </top>
      <bottom style="thin">
        <color rgb="FFC7D7EA"/>
      </bottom>
      <diagonal/>
    </border>
    <border>
      <left style="thin">
        <color rgb="FFD7DEE8"/>
      </left>
      <right/>
      <top style="thin">
        <color rgb="FFD7DEE8"/>
      </top>
      <bottom style="thin">
        <color rgb="FFD7DEE8"/>
      </bottom>
      <diagonal/>
    </border>
    <border>
      <left style="thin">
        <color rgb="FFB8C7D9"/>
      </left>
      <right/>
      <top style="thin">
        <color rgb="FFB8C7D9"/>
      </top>
      <bottom style="thin">
        <color rgb="FFB8C7D9"/>
      </bottom>
      <diagonal/>
    </border>
    <border>
      <left/>
      <right/>
      <top style="thin">
        <color rgb="FFB8C7D9"/>
      </top>
      <bottom style="thin">
        <color rgb="FFB8C7D9"/>
      </bottom>
      <diagonal/>
    </border>
    <border>
      <left/>
      <right style="thin">
        <color rgb="FFB8C7D9"/>
      </right>
      <top style="thin">
        <color rgb="FFB8C7D9"/>
      </top>
      <bottom style="thin">
        <color rgb="FFB8C7D9"/>
      </bottom>
      <diagonal/>
    </border>
    <border>
      <left style="thin">
        <color rgb="FFD7DEE8"/>
      </left>
      <right/>
      <top style="thin">
        <color rgb="FFD7DEE8"/>
      </top>
      <bottom/>
      <diagonal/>
    </border>
    <border>
      <left/>
      <right style="thin">
        <color rgb="FFD7DEE8"/>
      </right>
      <top style="thin">
        <color rgb="FFD7DEE8"/>
      </top>
      <bottom/>
      <diagonal/>
    </border>
    <border>
      <left style="thin">
        <color rgb="FFD7DEE8"/>
      </left>
      <right/>
      <top/>
      <bottom/>
      <diagonal/>
    </border>
    <border>
      <left/>
      <right style="thin">
        <color rgb="FFD7DEE8"/>
      </right>
      <top/>
      <bottom/>
      <diagonal/>
    </border>
    <border>
      <left style="thin">
        <color rgb="FFD7DEE8"/>
      </left>
      <right/>
      <top/>
      <bottom style="thin">
        <color rgb="FFD7DEE8"/>
      </bottom>
      <diagonal/>
    </border>
    <border>
      <left/>
      <right style="thin">
        <color rgb="FFD7DEE8"/>
      </right>
      <top/>
      <bottom style="thin">
        <color rgb="FFD7DEE8"/>
      </bottom>
      <diagonal/>
    </border>
    <border>
      <left/>
      <right/>
      <top style="thin">
        <color rgb="FFD7DEE8"/>
      </top>
      <bottom/>
      <diagonal/>
    </border>
    <border>
      <left/>
      <right/>
      <top/>
      <bottom style="thin">
        <color rgb="FFD7DEE8"/>
      </bottom>
      <diagonal/>
    </border>
    <border>
      <left style="thin">
        <color rgb="FFB8C7D9"/>
      </left>
      <right style="thin">
        <color rgb="FFB8C7D9"/>
      </right>
      <top style="thin">
        <color rgb="FFB8C7D9"/>
      </top>
      <bottom/>
      <diagonal/>
    </border>
    <border>
      <left style="thin">
        <color rgb="FFB8C7D9"/>
      </left>
      <right style="thin">
        <color rgb="FFB8C7D9"/>
      </right>
      <top/>
      <bottom style="thin">
        <color rgb="FFB8C7D9"/>
      </bottom>
      <diagonal/>
    </border>
    <border>
      <left style="thin">
        <color rgb="FFB8C7D9"/>
      </left>
      <right style="thin">
        <color rgb="FFB8C7D9"/>
      </right>
      <top/>
      <bottom/>
      <diagonal/>
    </border>
    <border>
      <left style="thin">
        <color rgb="FFD7DEE8"/>
      </left>
      <right/>
      <top style="thin">
        <color rgb="FFC7D7EA"/>
      </top>
      <bottom/>
      <diagonal/>
    </border>
    <border>
      <left/>
      <right/>
      <top style="thin">
        <color rgb="FFC7D7EA"/>
      </top>
      <bottom/>
      <diagonal/>
    </border>
    <border>
      <left/>
      <right style="thin">
        <color rgb="FFD7DEE8"/>
      </right>
      <top style="thin">
        <color rgb="FFC7D7EA"/>
      </top>
      <bottom/>
      <diagonal/>
    </border>
    <border>
      <left/>
      <right style="thin">
        <color auto="1"/>
      </right>
      <top style="thin">
        <color rgb="FFB8C7D9"/>
      </top>
      <bottom/>
      <diagonal/>
    </border>
    <border>
      <left style="thin">
        <color rgb="FFD7DEE8"/>
      </left>
      <right/>
      <top style="thin">
        <color rgb="FFB8C7D9"/>
      </top>
      <bottom/>
      <diagonal/>
    </border>
    <border>
      <left/>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0066FF"/>
      </left>
      <right/>
      <top style="thin">
        <color rgb="FF0066FF"/>
      </top>
      <bottom/>
      <diagonal/>
    </border>
    <border>
      <left/>
      <right/>
      <top style="thin">
        <color rgb="FF0066FF"/>
      </top>
      <bottom/>
      <diagonal/>
    </border>
    <border>
      <left/>
      <right style="thin">
        <color rgb="FF0066FF"/>
      </right>
      <top style="thin">
        <color rgb="FF0066FF"/>
      </top>
      <bottom/>
      <diagonal/>
    </border>
    <border>
      <left style="thin">
        <color rgb="FF0066FF"/>
      </left>
      <right/>
      <top/>
      <bottom/>
      <diagonal/>
    </border>
    <border>
      <left/>
      <right style="thin">
        <color rgb="FF0066FF"/>
      </right>
      <top/>
      <bottom/>
      <diagonal/>
    </border>
    <border>
      <left style="thin">
        <color rgb="FF0066FF"/>
      </left>
      <right/>
      <top/>
      <bottom style="thin">
        <color rgb="FF0066FF"/>
      </bottom>
      <diagonal/>
    </border>
    <border>
      <left/>
      <right/>
      <top/>
      <bottom style="thin">
        <color rgb="FF0066FF"/>
      </bottom>
      <diagonal/>
    </border>
    <border>
      <left/>
      <right style="thin">
        <color rgb="FF0066FF"/>
      </right>
      <top/>
      <bottom style="thin">
        <color rgb="FF0066FF"/>
      </bottom>
      <diagonal/>
    </border>
    <border>
      <left/>
      <right/>
      <top style="thin">
        <color rgb="FFB8C7D9"/>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B8C7D9"/>
      </right>
      <top style="thin">
        <color rgb="FFB8C7D9"/>
      </top>
      <bottom/>
      <diagonal/>
    </border>
    <border>
      <left style="thin">
        <color rgb="FFD7DEE8"/>
      </left>
      <right/>
      <top/>
      <bottom style="thin">
        <color auto="1"/>
      </bottom>
      <diagonal/>
    </border>
    <border>
      <left/>
      <right/>
      <top style="thin">
        <color rgb="FFD7DEE8"/>
      </top>
      <bottom style="thin">
        <color rgb="FFD7DEE8"/>
      </bottom>
      <diagonal/>
    </border>
    <border>
      <left style="thin">
        <color rgb="FF0066FF"/>
      </left>
      <right/>
      <top style="thin">
        <color rgb="FF0066FF"/>
      </top>
      <bottom style="thin">
        <color rgb="FFC7D7EA"/>
      </bottom>
      <diagonal/>
    </border>
    <border>
      <left/>
      <right/>
      <top style="thin">
        <color rgb="FF0066FF"/>
      </top>
      <bottom style="thin">
        <color rgb="FFC7D7EA"/>
      </bottom>
      <diagonal/>
    </border>
    <border>
      <left/>
      <right style="thin">
        <color rgb="FF0066FF"/>
      </right>
      <top style="thin">
        <color rgb="FF0066FF"/>
      </top>
      <bottom style="thin">
        <color rgb="FFC7D7EA"/>
      </bottom>
      <diagonal/>
    </border>
    <border>
      <left style="thin">
        <color rgb="FF0066FF"/>
      </left>
      <right/>
      <top style="thin">
        <color rgb="FFD7DEE8"/>
      </top>
      <bottom style="thin">
        <color rgb="FFD7DEE8"/>
      </bottom>
      <diagonal/>
    </border>
    <border>
      <left/>
      <right style="thin">
        <color rgb="FF0066FF"/>
      </right>
      <top style="thin">
        <color rgb="FFD7DEE8"/>
      </top>
      <bottom style="thin">
        <color rgb="FFD7DEE8"/>
      </bottom>
      <diagonal/>
    </border>
    <border>
      <left style="thin">
        <color rgb="FF0066FF"/>
      </left>
      <right/>
      <top style="thin">
        <color rgb="FFB8C7D9"/>
      </top>
      <bottom style="thin">
        <color rgb="FFB8C7D9"/>
      </bottom>
      <diagonal/>
    </border>
    <border>
      <left/>
      <right style="thin">
        <color rgb="FF0066FF"/>
      </right>
      <top style="thin">
        <color rgb="FFB8C7D9"/>
      </top>
      <bottom style="thin">
        <color rgb="FFB8C7D9"/>
      </bottom>
      <diagonal/>
    </border>
    <border>
      <left style="thin">
        <color rgb="FF0066FF"/>
      </left>
      <right/>
      <top style="thin">
        <color rgb="FFD7DEE8"/>
      </top>
      <bottom/>
      <diagonal/>
    </border>
    <border>
      <left/>
      <right style="thin">
        <color rgb="FF0066FF"/>
      </right>
      <top style="thin">
        <color rgb="FFD7DEE8"/>
      </top>
      <bottom/>
      <diagonal/>
    </border>
    <border>
      <left/>
      <right/>
      <top/>
      <bottom style="thin">
        <color rgb="FFB8C7D9"/>
      </bottom>
      <diagonal/>
    </border>
    <border>
      <left/>
      <right style="thin">
        <color rgb="FF0066FF"/>
      </right>
      <top/>
      <bottom style="thin">
        <color rgb="FFB8C7D9"/>
      </bottom>
      <diagonal/>
    </border>
    <border>
      <left/>
      <right/>
      <top style="double">
        <color theme="9" tint="0.39994506668294322"/>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auto="1"/>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7030A0"/>
      </left>
      <right style="thin">
        <color rgb="FF7030A0"/>
      </right>
      <top style="thin">
        <color rgb="FF7030A0"/>
      </top>
      <bottom style="thin">
        <color rgb="FF7030A0"/>
      </bottom>
      <diagonal/>
    </border>
    <border>
      <left/>
      <right/>
      <top/>
      <bottom style="hair">
        <color auto="1"/>
      </bottom>
      <diagonal/>
    </border>
    <border>
      <left/>
      <right style="medium">
        <color indexed="64"/>
      </right>
      <top/>
      <bottom style="hair">
        <color auto="1"/>
      </bottom>
      <diagonal/>
    </border>
    <border>
      <left/>
      <right/>
      <top style="hair">
        <color auto="1"/>
      </top>
      <bottom/>
      <diagonal/>
    </border>
    <border>
      <left/>
      <right style="medium">
        <color auto="1"/>
      </right>
      <top style="hair">
        <color auto="1"/>
      </top>
      <bottom/>
      <diagonal/>
    </border>
    <border>
      <left/>
      <right/>
      <top style="hair">
        <color auto="1"/>
      </top>
      <bottom style="hair">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style="medium">
        <color indexed="64"/>
      </right>
      <top style="hair">
        <color auto="1"/>
      </top>
      <bottom style="hair">
        <color auto="1"/>
      </bottom>
      <diagonal/>
    </border>
    <border>
      <left/>
      <right style="medium">
        <color auto="1"/>
      </right>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style="medium">
        <color auto="1"/>
      </top>
      <bottom style="thin">
        <color indexed="64"/>
      </bottom>
      <diagonal/>
    </border>
    <border>
      <left/>
      <right/>
      <top style="medium">
        <color indexed="64"/>
      </top>
      <bottom style="thin">
        <color indexed="64"/>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hair">
        <color indexed="64"/>
      </right>
      <top style="hair">
        <color indexed="64"/>
      </top>
      <bottom/>
      <diagonal/>
    </border>
    <border>
      <left style="hair">
        <color indexed="60"/>
      </left>
      <right style="hair">
        <color indexed="64"/>
      </right>
      <top/>
      <bottom style="hair">
        <color indexed="64"/>
      </bottom>
      <diagonal/>
    </border>
    <border>
      <left style="hair">
        <color auto="1"/>
      </left>
      <right style="hair">
        <color indexed="64"/>
      </right>
      <top/>
      <bottom style="hair">
        <color auto="1"/>
      </bottom>
      <diagonal/>
    </border>
    <border>
      <left style="hair">
        <color auto="1"/>
      </left>
      <right style="medium">
        <color auto="1"/>
      </right>
      <top style="hair">
        <color auto="1"/>
      </top>
      <bottom style="hair">
        <color auto="1"/>
      </bottom>
      <diagonal/>
    </border>
    <border>
      <left/>
      <right style="hair">
        <color indexed="64"/>
      </right>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right style="hair">
        <color auto="1"/>
      </right>
      <top/>
      <bottom style="thin">
        <color indexed="64"/>
      </bottom>
      <diagonal/>
    </border>
    <border>
      <left/>
      <right style="thin">
        <color indexed="64"/>
      </right>
      <top/>
      <bottom style="medium">
        <color auto="1"/>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s>
  <cellStyleXfs count="21">
    <xf numFmtId="0" fontId="0" fillId="0" borderId="0"/>
    <xf numFmtId="0" fontId="10" fillId="0" borderId="1"/>
    <xf numFmtId="0" fontId="18" fillId="0" borderId="1"/>
    <xf numFmtId="0" fontId="28" fillId="0" borderId="24"/>
    <xf numFmtId="0" fontId="18" fillId="0" borderId="24"/>
    <xf numFmtId="0" fontId="1" fillId="0" borderId="24"/>
    <xf numFmtId="0" fontId="1" fillId="0" borderId="24"/>
    <xf numFmtId="0" fontId="18" fillId="0" borderId="24"/>
    <xf numFmtId="0" fontId="56" fillId="0" borderId="24" applyNumberFormat="0" applyFill="0" applyBorder="0" applyAlignment="0" applyProtection="0"/>
    <xf numFmtId="0" fontId="59" fillId="0" borderId="24"/>
    <xf numFmtId="0" fontId="56" fillId="0" borderId="24" applyNumberFormat="0" applyFill="0" applyBorder="0" applyAlignment="0" applyProtection="0"/>
    <xf numFmtId="0" fontId="69" fillId="0" borderId="24" applyNumberFormat="0" applyFill="0" applyBorder="0" applyAlignment="0" applyProtection="0"/>
    <xf numFmtId="0" fontId="1" fillId="0" borderId="24"/>
    <xf numFmtId="0" fontId="18" fillId="0" borderId="24"/>
    <xf numFmtId="0" fontId="84" fillId="0" borderId="24"/>
    <xf numFmtId="0" fontId="94" fillId="0" borderId="24"/>
    <xf numFmtId="0" fontId="1" fillId="0" borderId="24"/>
    <xf numFmtId="0" fontId="10" fillId="0" borderId="24"/>
    <xf numFmtId="0" fontId="28" fillId="0" borderId="24"/>
    <xf numFmtId="0" fontId="28" fillId="0" borderId="24"/>
    <xf numFmtId="0" fontId="18" fillId="0" borderId="24"/>
  </cellStyleXfs>
  <cellXfs count="818">
    <xf numFmtId="0" fontId="0" fillId="0" borderId="0" xfId="0"/>
    <xf numFmtId="0" fontId="4" fillId="0" borderId="0" xfId="0" applyFont="1" applyAlignment="1">
      <alignment vertical="center"/>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5" xfId="0" applyFont="1" applyFill="1" applyBorder="1" applyAlignment="1">
      <alignment horizontal="left" vertical="center" wrapText="1"/>
    </xf>
    <xf numFmtId="0" fontId="6" fillId="0" borderId="0" xfId="0" applyFont="1" applyAlignment="1">
      <alignment vertical="center"/>
    </xf>
    <xf numFmtId="0" fontId="5" fillId="3" borderId="6"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5" fillId="4" borderId="10" xfId="0" applyFont="1" applyFill="1" applyBorder="1" applyAlignment="1">
      <alignment horizontal="left" vertical="center"/>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3" fillId="0" borderId="0" xfId="0" applyFont="1"/>
    <xf numFmtId="0" fontId="4" fillId="4" borderId="1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19" fillId="8" borderId="1" xfId="2" applyFont="1" applyFill="1" applyAlignment="1">
      <alignment horizontal="center" vertical="center"/>
    </xf>
    <xf numFmtId="0" fontId="5" fillId="4" borderId="22" xfId="0" applyFont="1" applyFill="1" applyBorder="1" applyAlignment="1">
      <alignment vertical="center"/>
    </xf>
    <xf numFmtId="0" fontId="17" fillId="6" borderId="25" xfId="0" applyFont="1" applyFill="1" applyBorder="1" applyAlignment="1">
      <alignment vertical="center"/>
    </xf>
    <xf numFmtId="0" fontId="17" fillId="6" borderId="26" xfId="0" applyFont="1" applyFill="1" applyBorder="1" applyAlignment="1">
      <alignment vertical="center"/>
    </xf>
    <xf numFmtId="0" fontId="6" fillId="0" borderId="0" xfId="0" applyFont="1" applyAlignment="1">
      <alignment horizontal="right" vertical="center"/>
    </xf>
    <xf numFmtId="0" fontId="8" fillId="5" borderId="23" xfId="0" applyFont="1" applyFill="1" applyBorder="1" applyAlignment="1">
      <alignment horizontal="center" vertical="center"/>
    </xf>
    <xf numFmtId="0" fontId="8" fillId="5" borderId="1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8"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xf>
    <xf numFmtId="0" fontId="0" fillId="0" borderId="0" xfId="0" applyAlignment="1">
      <alignment horizontal="left" vertical="center"/>
    </xf>
    <xf numFmtId="0" fontId="2" fillId="13" borderId="6" xfId="0" applyFont="1" applyFill="1" applyBorder="1" applyAlignment="1">
      <alignment vertical="center"/>
    </xf>
    <xf numFmtId="0" fontId="22" fillId="10" borderId="0" xfId="0" applyFont="1" applyFill="1" applyAlignment="1">
      <alignment vertical="center"/>
    </xf>
    <xf numFmtId="0" fontId="5" fillId="4" borderId="28" xfId="0" applyFont="1" applyFill="1" applyBorder="1" applyAlignment="1">
      <alignment vertical="center"/>
    </xf>
    <xf numFmtId="0" fontId="5" fillId="2" borderId="4" xfId="0" applyFont="1" applyFill="1" applyBorder="1" applyAlignment="1">
      <alignment vertical="center" wrapText="1"/>
    </xf>
    <xf numFmtId="0" fontId="15"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7" fillId="0" borderId="18" xfId="0" applyFont="1" applyBorder="1" applyAlignment="1">
      <alignment vertical="center" wrapText="1"/>
    </xf>
    <xf numFmtId="0" fontId="25" fillId="14" borderId="27" xfId="0" applyFont="1" applyFill="1" applyBorder="1"/>
    <xf numFmtId="0" fontId="6" fillId="14" borderId="24" xfId="0" applyFont="1" applyFill="1" applyBorder="1" applyAlignment="1">
      <alignment vertical="top" wrapText="1"/>
    </xf>
    <xf numFmtId="0" fontId="6" fillId="14" borderId="28" xfId="0" applyFont="1" applyFill="1" applyBorder="1" applyAlignment="1">
      <alignment vertical="top" wrapText="1"/>
    </xf>
    <xf numFmtId="0" fontId="16" fillId="0" borderId="18" xfId="0" applyFont="1" applyBorder="1" applyAlignment="1">
      <alignment vertical="center" wrapText="1"/>
    </xf>
    <xf numFmtId="0" fontId="6" fillId="15" borderId="24" xfId="0" applyFont="1" applyFill="1" applyBorder="1" applyAlignment="1">
      <alignment vertical="top" wrapText="1"/>
    </xf>
    <xf numFmtId="0" fontId="6" fillId="15" borderId="28" xfId="0" applyFont="1" applyFill="1" applyBorder="1" applyAlignment="1">
      <alignment vertical="top" wrapText="1"/>
    </xf>
    <xf numFmtId="0" fontId="24" fillId="9" borderId="6" xfId="0" applyFont="1" applyFill="1" applyBorder="1" applyAlignment="1">
      <alignment horizontal="center" vertical="center" wrapText="1"/>
    </xf>
    <xf numFmtId="0" fontId="24" fillId="9"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5" fillId="4" borderId="14"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5" fillId="4" borderId="10" xfId="0" applyFont="1" applyFill="1" applyBorder="1" applyAlignment="1">
      <alignment horizontal="center" vertical="center" wrapText="1"/>
    </xf>
    <xf numFmtId="0" fontId="4" fillId="4" borderId="0" xfId="0" applyFont="1" applyFill="1" applyAlignment="1">
      <alignment horizontal="center" vertical="center" wrapText="1"/>
    </xf>
    <xf numFmtId="0" fontId="5" fillId="4" borderId="0" xfId="0" applyFont="1" applyFill="1" applyAlignment="1">
      <alignment horizontal="left" vertical="center" wrapText="1"/>
    </xf>
    <xf numFmtId="0" fontId="13" fillId="4" borderId="11" xfId="0" applyFont="1" applyFill="1" applyBorder="1" applyAlignment="1">
      <alignment horizontal="left" vertical="center" wrapText="1"/>
    </xf>
    <xf numFmtId="0" fontId="5" fillId="4" borderId="12"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5" fillId="11" borderId="16"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1" borderId="18" xfId="0" applyFont="1" applyFill="1" applyBorder="1" applyAlignment="1">
      <alignment horizontal="right" vertical="center" wrapText="1"/>
    </xf>
    <xf numFmtId="0" fontId="5" fillId="11" borderId="17" xfId="0" applyFont="1" applyFill="1" applyBorder="1" applyAlignment="1">
      <alignment horizontal="center" vertical="center" wrapText="1"/>
    </xf>
    <xf numFmtId="0" fontId="0" fillId="0" borderId="0" xfId="0" applyAlignment="1">
      <alignment horizontal="right" vertical="center" wrapText="1"/>
    </xf>
    <xf numFmtId="0" fontId="2" fillId="13" borderId="5" xfId="0" applyFont="1" applyFill="1" applyBorder="1" applyAlignment="1">
      <alignment horizontal="center" vertical="center"/>
    </xf>
    <xf numFmtId="0" fontId="2" fillId="13" borderId="6" xfId="0" applyFont="1" applyFill="1" applyBorder="1" applyAlignment="1">
      <alignment horizontal="center" vertical="center"/>
    </xf>
    <xf numFmtId="0" fontId="2" fillId="13" borderId="41" xfId="0" applyFont="1" applyFill="1" applyBorder="1" applyAlignment="1">
      <alignment horizontal="center" vertical="center"/>
    </xf>
    <xf numFmtId="0" fontId="2" fillId="14" borderId="6" xfId="0" applyFont="1" applyFill="1" applyBorder="1" applyAlignment="1">
      <alignment vertical="center"/>
    </xf>
    <xf numFmtId="0" fontId="2" fillId="13" borderId="7" xfId="0" applyFont="1" applyFill="1" applyBorder="1" applyAlignment="1">
      <alignment vertical="center"/>
    </xf>
    <xf numFmtId="0" fontId="2" fillId="13" borderId="41" xfId="0" applyFont="1" applyFill="1" applyBorder="1" applyAlignment="1">
      <alignment vertical="center"/>
    </xf>
    <xf numFmtId="0" fontId="2" fillId="13" borderId="45" xfId="0" applyFont="1" applyFill="1" applyBorder="1" applyAlignment="1">
      <alignment vertical="center"/>
    </xf>
    <xf numFmtId="0" fontId="2" fillId="13" borderId="41" xfId="0" applyFont="1" applyFill="1" applyBorder="1" applyAlignment="1">
      <alignment horizontal="left" vertical="center"/>
    </xf>
    <xf numFmtId="0" fontId="9" fillId="12" borderId="41" xfId="0" applyFont="1" applyFill="1" applyBorder="1" applyAlignment="1">
      <alignment vertical="center"/>
    </xf>
    <xf numFmtId="0" fontId="9" fillId="12" borderId="0" xfId="0" applyFont="1" applyFill="1" applyAlignment="1">
      <alignment vertical="center"/>
    </xf>
    <xf numFmtId="0" fontId="9" fillId="7" borderId="41" xfId="0" applyFont="1" applyFill="1" applyBorder="1" applyAlignment="1">
      <alignment vertical="center"/>
    </xf>
    <xf numFmtId="0" fontId="9" fillId="7" borderId="24" xfId="0" applyFont="1" applyFill="1" applyBorder="1" applyAlignment="1">
      <alignment vertical="center"/>
    </xf>
    <xf numFmtId="0" fontId="26" fillId="17" borderId="0" xfId="0" applyFont="1" applyFill="1" applyAlignment="1">
      <alignment vertical="center"/>
    </xf>
    <xf numFmtId="0" fontId="8" fillId="5" borderId="46" xfId="0" applyFont="1" applyFill="1" applyBorder="1" applyAlignment="1">
      <alignment horizontal="center" vertical="center"/>
    </xf>
    <xf numFmtId="0" fontId="9" fillId="7" borderId="30" xfId="0" applyFont="1" applyFill="1" applyBorder="1" applyAlignment="1">
      <alignment vertical="center"/>
    </xf>
    <xf numFmtId="0" fontId="5" fillId="4" borderId="31" xfId="0" applyFont="1" applyFill="1" applyBorder="1" applyAlignment="1">
      <alignment vertical="center"/>
    </xf>
    <xf numFmtId="0" fontId="33" fillId="0" borderId="24" xfId="3" applyFont="1" applyAlignment="1">
      <alignment vertical="center"/>
    </xf>
    <xf numFmtId="0" fontId="35" fillId="0" borderId="24" xfId="3" applyFont="1" applyAlignment="1">
      <alignment vertical="center"/>
    </xf>
    <xf numFmtId="0" fontId="35" fillId="4" borderId="14" xfId="3" applyFont="1" applyFill="1" applyBorder="1" applyAlignment="1">
      <alignment horizontal="left" vertical="center" wrapText="1"/>
    </xf>
    <xf numFmtId="0" fontId="35" fillId="4" borderId="24" xfId="3" applyFont="1" applyFill="1" applyAlignment="1">
      <alignment horizontal="left" vertical="center" wrapText="1"/>
    </xf>
    <xf numFmtId="0" fontId="33" fillId="18" borderId="24" xfId="3" applyFont="1" applyFill="1"/>
    <xf numFmtId="0" fontId="33" fillId="0" borderId="24" xfId="3" applyFont="1"/>
    <xf numFmtId="0" fontId="37" fillId="18" borderId="24" xfId="3" applyFont="1" applyFill="1"/>
    <xf numFmtId="0" fontId="38" fillId="18" borderId="24" xfId="3" applyFont="1" applyFill="1" applyAlignment="1">
      <alignment vertical="center"/>
    </xf>
    <xf numFmtId="0" fontId="37" fillId="18" borderId="24" xfId="3" applyFont="1" applyFill="1" applyAlignment="1">
      <alignment vertical="center"/>
    </xf>
    <xf numFmtId="0" fontId="37" fillId="18" borderId="24" xfId="3" applyFont="1" applyFill="1" applyAlignment="1">
      <alignment horizontal="center" vertical="center" wrapText="1"/>
    </xf>
    <xf numFmtId="0" fontId="33" fillId="18" borderId="24" xfId="3" applyFont="1" applyFill="1" applyAlignment="1">
      <alignment vertical="center" wrapText="1"/>
    </xf>
    <xf numFmtId="0" fontId="37" fillId="18" borderId="24" xfId="3" applyFont="1" applyFill="1" applyAlignment="1">
      <alignment horizontal="left" vertical="center" indent="1"/>
    </xf>
    <xf numFmtId="0" fontId="35" fillId="0" borderId="36" xfId="3" applyFont="1" applyBorder="1" applyAlignment="1">
      <alignment vertical="center"/>
    </xf>
    <xf numFmtId="0" fontId="35" fillId="0" borderId="37" xfId="3" applyFont="1" applyBorder="1" applyAlignment="1">
      <alignment vertical="center"/>
    </xf>
    <xf numFmtId="0" fontId="36" fillId="13" borderId="53" xfId="3" applyFont="1" applyFill="1" applyBorder="1" applyAlignment="1">
      <alignment horizontal="center" vertical="center" wrapText="1"/>
    </xf>
    <xf numFmtId="0" fontId="36" fillId="13" borderId="6" xfId="3" applyFont="1" applyFill="1" applyBorder="1" applyAlignment="1">
      <alignment horizontal="center" vertical="center"/>
    </xf>
    <xf numFmtId="0" fontId="36" fillId="13" borderId="54" xfId="3" applyFont="1" applyFill="1" applyBorder="1" applyAlignment="1">
      <alignment horizontal="center" vertical="center"/>
    </xf>
    <xf numFmtId="0" fontId="36" fillId="4" borderId="55" xfId="3" applyFont="1" applyFill="1" applyBorder="1" applyAlignment="1">
      <alignment horizontal="center" vertical="center" wrapText="1"/>
    </xf>
    <xf numFmtId="0" fontId="36" fillId="4" borderId="14" xfId="3" applyFont="1" applyFill="1" applyBorder="1" applyAlignment="1">
      <alignment horizontal="left" vertical="center"/>
    </xf>
    <xf numFmtId="0" fontId="35" fillId="4" borderId="14" xfId="3" applyFont="1" applyFill="1" applyBorder="1" applyAlignment="1">
      <alignment horizontal="left" vertical="center"/>
    </xf>
    <xf numFmtId="0" fontId="35" fillId="4" borderId="56" xfId="3" applyFont="1" applyFill="1" applyBorder="1" applyAlignment="1">
      <alignment horizontal="left" vertical="center"/>
    </xf>
    <xf numFmtId="0" fontId="36" fillId="4" borderId="36" xfId="3" applyFont="1" applyFill="1" applyBorder="1" applyAlignment="1">
      <alignment horizontal="center" vertical="center" wrapText="1"/>
    </xf>
    <xf numFmtId="0" fontId="36" fillId="4" borderId="24" xfId="3" applyFont="1" applyFill="1" applyAlignment="1">
      <alignment horizontal="left" vertical="center"/>
    </xf>
    <xf numFmtId="0" fontId="35" fillId="4" borderId="24" xfId="3" applyFont="1" applyFill="1" applyAlignment="1">
      <alignment horizontal="left" vertical="center"/>
    </xf>
    <xf numFmtId="0" fontId="35" fillId="4" borderId="37" xfId="3" applyFont="1" applyFill="1" applyBorder="1" applyAlignment="1">
      <alignment horizontal="left" vertical="center"/>
    </xf>
    <xf numFmtId="0" fontId="34" fillId="11" borderId="53" xfId="3" applyFont="1" applyFill="1" applyBorder="1" applyAlignment="1">
      <alignment vertical="center"/>
    </xf>
    <xf numFmtId="0" fontId="36" fillId="11" borderId="6" xfId="3" applyFont="1" applyFill="1" applyBorder="1" applyAlignment="1">
      <alignment vertical="center"/>
    </xf>
    <xf numFmtId="0" fontId="36" fillId="11" borderId="54" xfId="3" applyFont="1" applyFill="1" applyBorder="1" applyAlignment="1">
      <alignment vertical="center"/>
    </xf>
    <xf numFmtId="0" fontId="36" fillId="4" borderId="55" xfId="3" applyFont="1" applyFill="1" applyBorder="1" applyAlignment="1">
      <alignment horizontal="left" vertical="center"/>
    </xf>
    <xf numFmtId="0" fontId="35" fillId="4" borderId="56" xfId="3" applyFont="1" applyFill="1" applyBorder="1" applyAlignment="1">
      <alignment horizontal="left" vertical="center" wrapText="1"/>
    </xf>
    <xf numFmtId="0" fontId="36" fillId="4" borderId="36" xfId="3" applyFont="1" applyFill="1" applyBorder="1" applyAlignment="1">
      <alignment horizontal="left" vertical="center"/>
    </xf>
    <xf numFmtId="0" fontId="35" fillId="4" borderId="37" xfId="3" applyFont="1" applyFill="1" applyBorder="1" applyAlignment="1">
      <alignment horizontal="left" vertical="center" wrapText="1"/>
    </xf>
    <xf numFmtId="0" fontId="36" fillId="4" borderId="38" xfId="3" applyFont="1" applyFill="1" applyBorder="1" applyAlignment="1">
      <alignment horizontal="left" vertical="center"/>
    </xf>
    <xf numFmtId="0" fontId="35" fillId="4" borderId="39" xfId="3" applyFont="1" applyFill="1" applyBorder="1" applyAlignment="1">
      <alignment horizontal="left" vertical="center" wrapText="1"/>
    </xf>
    <xf numFmtId="0" fontId="35" fillId="4" borderId="40" xfId="3" applyFont="1" applyFill="1" applyBorder="1" applyAlignment="1">
      <alignment horizontal="left" vertical="center" wrapText="1"/>
    </xf>
    <xf numFmtId="0" fontId="36" fillId="4" borderId="36" xfId="3" applyFont="1" applyFill="1" applyBorder="1" applyAlignment="1">
      <alignment vertical="center" wrapText="1"/>
    </xf>
    <xf numFmtId="0" fontId="35" fillId="0" borderId="57" xfId="3" applyFont="1" applyBorder="1" applyAlignment="1">
      <alignment vertical="center"/>
    </xf>
    <xf numFmtId="0" fontId="35" fillId="0" borderId="58" xfId="3" applyFont="1" applyBorder="1" applyAlignment="1">
      <alignment vertical="center"/>
    </xf>
    <xf numFmtId="0" fontId="29" fillId="19" borderId="24" xfId="4" applyFont="1" applyFill="1" applyAlignment="1">
      <alignment horizontal="center" vertical="center"/>
    </xf>
    <xf numFmtId="0" fontId="39" fillId="18" borderId="24" xfId="5" applyFont="1" applyFill="1" applyAlignment="1">
      <alignment horizontal="center" vertical="center"/>
    </xf>
    <xf numFmtId="0" fontId="40" fillId="20" borderId="59" xfId="6" applyFont="1" applyFill="1" applyBorder="1" applyAlignment="1">
      <alignment horizontal="center" vertical="center"/>
    </xf>
    <xf numFmtId="0" fontId="41" fillId="18" borderId="24" xfId="5" applyFont="1" applyFill="1" applyAlignment="1">
      <alignment horizontal="center" vertical="center"/>
    </xf>
    <xf numFmtId="0" fontId="1" fillId="18" borderId="24" xfId="5" applyFill="1"/>
    <xf numFmtId="0" fontId="42" fillId="21" borderId="24" xfId="5" applyFont="1" applyFill="1" applyAlignment="1">
      <alignment horizontal="center" vertical="center"/>
    </xf>
    <xf numFmtId="0" fontId="43" fillId="22" borderId="60" xfId="6" applyFont="1" applyFill="1" applyBorder="1" applyAlignment="1">
      <alignment horizontal="center" vertical="center"/>
    </xf>
    <xf numFmtId="0" fontId="43" fillId="23" borderId="60" xfId="6" applyFont="1" applyFill="1" applyBorder="1" applyAlignment="1">
      <alignment horizontal="center" vertical="center"/>
    </xf>
    <xf numFmtId="0" fontId="1" fillId="0" borderId="24" xfId="5"/>
    <xf numFmtId="0" fontId="44" fillId="24" borderId="24" xfId="4" quotePrefix="1" applyFont="1" applyFill="1" applyAlignment="1">
      <alignment horizontal="center" vertical="center"/>
    </xf>
    <xf numFmtId="0" fontId="45" fillId="23" borderId="24" xfId="4" applyFont="1" applyFill="1" applyAlignment="1">
      <alignment horizontal="left" vertical="center"/>
    </xf>
    <xf numFmtId="0" fontId="46" fillId="23" borderId="24" xfId="4" applyFont="1" applyFill="1" applyAlignment="1">
      <alignment horizontal="left" vertical="center"/>
    </xf>
    <xf numFmtId="0" fontId="44" fillId="25" borderId="24" xfId="4" quotePrefix="1" applyFont="1" applyFill="1" applyAlignment="1">
      <alignment horizontal="center" vertical="center"/>
    </xf>
    <xf numFmtId="0" fontId="47" fillId="23" borderId="24" xfId="4" applyFont="1" applyFill="1" applyAlignment="1">
      <alignment horizontal="right" vertical="center"/>
    </xf>
    <xf numFmtId="0" fontId="48" fillId="23" borderId="24" xfId="4" applyFont="1" applyFill="1" applyAlignment="1">
      <alignment horizontal="left" vertical="center"/>
    </xf>
    <xf numFmtId="0" fontId="49" fillId="18" borderId="24" xfId="5" applyFont="1" applyFill="1" applyAlignment="1">
      <alignment horizontal="left" vertical="center"/>
    </xf>
    <xf numFmtId="0" fontId="50" fillId="18" borderId="24" xfId="5" applyFont="1" applyFill="1" applyAlignment="1">
      <alignment horizontal="right" vertical="center"/>
    </xf>
    <xf numFmtId="0" fontId="51" fillId="18" borderId="24" xfId="5" applyFont="1" applyFill="1" applyAlignment="1">
      <alignment horizontal="left" vertical="center"/>
    </xf>
    <xf numFmtId="0" fontId="33" fillId="18" borderId="24" xfId="5" applyFont="1" applyFill="1" applyAlignment="1">
      <alignment horizontal="left" vertical="center"/>
    </xf>
    <xf numFmtId="0" fontId="52" fillId="18" borderId="24" xfId="5" applyFont="1" applyFill="1" applyAlignment="1">
      <alignment horizontal="left" vertical="center"/>
    </xf>
    <xf numFmtId="0" fontId="53" fillId="18" borderId="24" xfId="5" applyFont="1" applyFill="1" applyAlignment="1">
      <alignment horizontal="left" vertical="center"/>
    </xf>
    <xf numFmtId="0" fontId="54" fillId="26" borderId="24" xfId="7" applyFont="1" applyFill="1" applyAlignment="1">
      <alignment horizontal="right" vertical="center"/>
    </xf>
    <xf numFmtId="166" fontId="54" fillId="18" borderId="24" xfId="7" applyNumberFormat="1" applyFont="1" applyFill="1" applyAlignment="1">
      <alignment vertical="center"/>
    </xf>
    <xf numFmtId="166" fontId="55" fillId="18" borderId="24" xfId="7" applyNumberFormat="1" applyFont="1" applyFill="1" applyAlignment="1">
      <alignment horizontal="left" vertical="center"/>
    </xf>
    <xf numFmtId="166" fontId="55" fillId="18" borderId="24" xfId="7" applyNumberFormat="1" applyFont="1" applyFill="1" applyAlignment="1">
      <alignment horizontal="right" vertical="center"/>
    </xf>
    <xf numFmtId="0" fontId="57" fillId="18" borderId="24" xfId="8" applyFont="1" applyFill="1" applyAlignment="1">
      <alignment horizontal="left" vertical="center"/>
    </xf>
    <xf numFmtId="0" fontId="58" fillId="0" borderId="24" xfId="5" applyFont="1"/>
    <xf numFmtId="0" fontId="59" fillId="18" borderId="24" xfId="9" applyFill="1"/>
    <xf numFmtId="0" fontId="59" fillId="0" borderId="24" xfId="9"/>
    <xf numFmtId="0" fontId="60" fillId="27" borderId="32" xfId="4" applyFont="1" applyFill="1" applyBorder="1" applyAlignment="1">
      <alignment horizontal="center" vertical="center"/>
    </xf>
    <xf numFmtId="0" fontId="37" fillId="18" borderId="24" xfId="5" applyFont="1" applyFill="1" applyAlignment="1">
      <alignment horizontal="left" vertical="center"/>
    </xf>
    <xf numFmtId="0" fontId="60" fillId="27" borderId="61" xfId="4" applyFont="1" applyFill="1" applyBorder="1" applyAlignment="1">
      <alignment horizontal="center" vertical="center"/>
    </xf>
    <xf numFmtId="0" fontId="59" fillId="18" borderId="64" xfId="9" applyFill="1" applyBorder="1"/>
    <xf numFmtId="0" fontId="50" fillId="18" borderId="24" xfId="5" applyFont="1" applyFill="1" applyAlignment="1">
      <alignment horizontal="left" vertical="center"/>
    </xf>
    <xf numFmtId="0" fontId="63" fillId="19" borderId="24" xfId="4" applyFont="1" applyFill="1" applyAlignment="1">
      <alignment horizontal="center" vertical="center"/>
    </xf>
    <xf numFmtId="0" fontId="64" fillId="18" borderId="24" xfId="9" applyFont="1" applyFill="1" applyAlignment="1">
      <alignment horizontal="center" vertical="center"/>
    </xf>
    <xf numFmtId="0" fontId="50" fillId="18" borderId="24" xfId="5" applyFont="1" applyFill="1" applyAlignment="1">
      <alignment horizontal="center" vertical="center"/>
    </xf>
    <xf numFmtId="0" fontId="1" fillId="18" borderId="24" xfId="9" applyFont="1" applyFill="1"/>
    <xf numFmtId="0" fontId="65" fillId="18" borderId="24" xfId="9" applyFont="1" applyFill="1" applyAlignment="1">
      <alignment vertical="center"/>
    </xf>
    <xf numFmtId="0" fontId="59" fillId="18" borderId="24" xfId="9" applyFill="1" applyAlignment="1">
      <alignment vertical="center"/>
    </xf>
    <xf numFmtId="0" fontId="66" fillId="18" borderId="24" xfId="9" applyFont="1" applyFill="1" applyAlignment="1">
      <alignment vertical="center"/>
    </xf>
    <xf numFmtId="0" fontId="59" fillId="0" borderId="24" xfId="9" applyAlignment="1">
      <alignment horizontal="center"/>
    </xf>
    <xf numFmtId="0" fontId="67" fillId="18" borderId="24" xfId="9" applyFont="1" applyFill="1" applyAlignment="1">
      <alignment vertical="center"/>
    </xf>
    <xf numFmtId="0" fontId="56" fillId="28" borderId="24" xfId="8" applyNumberFormat="1" applyFill="1" applyBorder="1" applyAlignment="1">
      <alignment horizontal="center" vertical="center"/>
    </xf>
    <xf numFmtId="0" fontId="1" fillId="18" borderId="24" xfId="9" applyFont="1" applyFill="1" applyAlignment="1">
      <alignment vertical="top"/>
    </xf>
    <xf numFmtId="0" fontId="1" fillId="18" borderId="64" xfId="9" applyFont="1" applyFill="1" applyBorder="1" applyAlignment="1">
      <alignment vertical="top"/>
    </xf>
    <xf numFmtId="0" fontId="59" fillId="24" borderId="24" xfId="9" applyFill="1" applyAlignment="1">
      <alignment vertical="center"/>
    </xf>
    <xf numFmtId="0" fontId="1" fillId="18" borderId="24" xfId="9" applyFont="1" applyFill="1" applyAlignment="1">
      <alignment horizontal="left" vertical="center"/>
    </xf>
    <xf numFmtId="0" fontId="59" fillId="18" borderId="24" xfId="9" applyFill="1" applyAlignment="1">
      <alignment horizontal="center"/>
    </xf>
    <xf numFmtId="0" fontId="56" fillId="28" borderId="24" xfId="10" applyNumberFormat="1" applyFill="1" applyBorder="1" applyAlignment="1">
      <alignment horizontal="center" vertical="center"/>
    </xf>
    <xf numFmtId="0" fontId="59" fillId="0" borderId="24" xfId="9" applyAlignment="1">
      <alignment vertical="center"/>
    </xf>
    <xf numFmtId="0" fontId="59" fillId="24" borderId="24" xfId="9" applyFill="1" applyAlignment="1">
      <alignment horizontal="center" vertical="center"/>
    </xf>
    <xf numFmtId="0" fontId="59" fillId="18" borderId="24" xfId="9" applyFill="1" applyAlignment="1">
      <alignment horizontal="center" vertical="center" wrapText="1"/>
    </xf>
    <xf numFmtId="0" fontId="59" fillId="18" borderId="64" xfId="9" applyFill="1" applyBorder="1" applyAlignment="1">
      <alignment horizontal="center" vertical="center" wrapText="1"/>
    </xf>
    <xf numFmtId="0" fontId="68" fillId="18" borderId="24" xfId="9" applyFont="1" applyFill="1" applyAlignment="1">
      <alignment vertical="center"/>
    </xf>
    <xf numFmtId="0" fontId="59" fillId="29" borderId="24" xfId="9" applyFill="1" applyAlignment="1">
      <alignment horizontal="center" vertical="center"/>
    </xf>
    <xf numFmtId="0" fontId="1" fillId="18" borderId="64" xfId="9" applyFont="1" applyFill="1" applyBorder="1" applyAlignment="1">
      <alignment horizontal="left" vertical="center"/>
    </xf>
    <xf numFmtId="0" fontId="56" fillId="30" borderId="24" xfId="10" applyNumberFormat="1" applyFill="1" applyBorder="1" applyAlignment="1">
      <alignment horizontal="center"/>
    </xf>
    <xf numFmtId="0" fontId="67" fillId="0" borderId="24" xfId="9" applyFont="1" applyAlignment="1">
      <alignment vertical="center"/>
    </xf>
    <xf numFmtId="0" fontId="65" fillId="0" borderId="24" xfId="9" applyFont="1" applyAlignment="1">
      <alignment horizontal="right" vertical="center"/>
    </xf>
    <xf numFmtId="0" fontId="69" fillId="0" borderId="24" xfId="11" applyAlignment="1">
      <alignment vertical="center"/>
    </xf>
    <xf numFmtId="0" fontId="70" fillId="18" borderId="61" xfId="12" applyFont="1" applyFill="1" applyBorder="1" applyAlignment="1">
      <alignment vertical="center"/>
    </xf>
    <xf numFmtId="0" fontId="70" fillId="18" borderId="60" xfId="9" applyFont="1" applyFill="1" applyBorder="1"/>
    <xf numFmtId="0" fontId="71" fillId="18" borderId="62" xfId="9" applyFont="1" applyFill="1" applyBorder="1"/>
    <xf numFmtId="0" fontId="70" fillId="18" borderId="63" xfId="12" applyFont="1" applyFill="1" applyBorder="1" applyAlignment="1">
      <alignment vertical="center"/>
    </xf>
    <xf numFmtId="0" fontId="70" fillId="18" borderId="24" xfId="9" applyFont="1" applyFill="1"/>
    <xf numFmtId="0" fontId="71" fillId="18" borderId="64" xfId="9" applyFont="1" applyFill="1" applyBorder="1"/>
    <xf numFmtId="0" fontId="1" fillId="18" borderId="24" xfId="9" applyFont="1" applyFill="1" applyAlignment="1">
      <alignment horizontal="center" vertical="top" wrapText="1"/>
    </xf>
    <xf numFmtId="0" fontId="1" fillId="18" borderId="64" xfId="9" applyFont="1" applyFill="1" applyBorder="1" applyAlignment="1">
      <alignment horizontal="center" vertical="top" wrapText="1"/>
    </xf>
    <xf numFmtId="0" fontId="37" fillId="18" borderId="63" xfId="4" applyFont="1" applyFill="1" applyBorder="1" applyAlignment="1" applyProtection="1">
      <alignment vertical="center"/>
      <protection hidden="1"/>
    </xf>
    <xf numFmtId="0" fontId="72" fillId="18" borderId="24" xfId="4" applyFont="1" applyFill="1"/>
    <xf numFmtId="0" fontId="72" fillId="18" borderId="64" xfId="4" applyFont="1" applyFill="1" applyBorder="1"/>
    <xf numFmtId="0" fontId="73" fillId="21" borderId="63" xfId="4" applyFont="1" applyFill="1" applyBorder="1" applyAlignment="1">
      <alignment horizontal="center" vertical="center"/>
    </xf>
    <xf numFmtId="0" fontId="73" fillId="21" borderId="24" xfId="4" applyFont="1" applyFill="1" applyAlignment="1">
      <alignment horizontal="center" vertical="center"/>
    </xf>
    <xf numFmtId="0" fontId="73" fillId="21" borderId="64" xfId="4" applyFont="1" applyFill="1" applyBorder="1" applyAlignment="1">
      <alignment horizontal="center" vertical="center"/>
    </xf>
    <xf numFmtId="0" fontId="74" fillId="0" borderId="24" xfId="12" applyFont="1" applyAlignment="1">
      <alignment vertical="center"/>
    </xf>
    <xf numFmtId="0" fontId="59" fillId="18" borderId="24" xfId="9" applyFill="1" applyAlignment="1">
      <alignment horizontal="left" vertical="center"/>
    </xf>
    <xf numFmtId="0" fontId="59" fillId="18" borderId="24" xfId="9" applyFill="1" applyAlignment="1">
      <alignment horizontal="right" vertical="center"/>
    </xf>
    <xf numFmtId="0" fontId="1" fillId="18" borderId="24" xfId="9" applyFont="1" applyFill="1" applyAlignment="1">
      <alignment horizontal="left" vertical="top"/>
    </xf>
    <xf numFmtId="0" fontId="73" fillId="24" borderId="65" xfId="4" applyFont="1" applyFill="1" applyBorder="1" applyAlignment="1">
      <alignment horizontal="center" vertical="center"/>
    </xf>
    <xf numFmtId="0" fontId="73" fillId="24" borderId="66" xfId="4" applyFont="1" applyFill="1" applyBorder="1" applyAlignment="1">
      <alignment horizontal="center" vertical="center"/>
    </xf>
    <xf numFmtId="0" fontId="73" fillId="24" borderId="67" xfId="4" applyFont="1" applyFill="1" applyBorder="1" applyAlignment="1">
      <alignment horizontal="center" vertical="center"/>
    </xf>
    <xf numFmtId="0" fontId="1" fillId="0" borderId="24" xfId="9" applyFont="1"/>
    <xf numFmtId="0" fontId="1" fillId="18" borderId="24" xfId="9" applyFont="1" applyFill="1" applyAlignment="1">
      <alignment horizontal="center" vertical="center" wrapText="1"/>
    </xf>
    <xf numFmtId="0" fontId="1" fillId="18" borderId="64" xfId="9" applyFont="1" applyFill="1" applyBorder="1" applyAlignment="1">
      <alignment horizontal="center" vertical="center" wrapText="1"/>
    </xf>
    <xf numFmtId="168" fontId="1" fillId="0" borderId="24" xfId="9" applyNumberFormat="1" applyFont="1"/>
    <xf numFmtId="0" fontId="31" fillId="0" borderId="24" xfId="9" applyFont="1" applyAlignment="1">
      <alignment vertical="center"/>
    </xf>
    <xf numFmtId="0" fontId="31" fillId="0" borderId="24" xfId="9" applyFont="1" applyAlignment="1">
      <alignment horizontal="right" vertical="center"/>
    </xf>
    <xf numFmtId="0" fontId="67" fillId="18" borderId="24" xfId="9" applyFont="1" applyFill="1" applyAlignment="1">
      <alignment horizontal="left"/>
    </xf>
    <xf numFmtId="169" fontId="1" fillId="0" borderId="24" xfId="9" applyNumberFormat="1" applyFont="1"/>
    <xf numFmtId="0" fontId="59" fillId="18" borderId="24" xfId="9" applyFill="1" applyAlignment="1">
      <alignment horizontal="left"/>
    </xf>
    <xf numFmtId="170" fontId="1" fillId="0" borderId="24" xfId="9" applyNumberFormat="1" applyFont="1"/>
    <xf numFmtId="0" fontId="32" fillId="27" borderId="61" xfId="5" applyFont="1" applyFill="1" applyBorder="1" applyAlignment="1">
      <alignment horizontal="center" vertical="center"/>
    </xf>
    <xf numFmtId="171" fontId="18" fillId="0" borderId="24" xfId="4" applyNumberFormat="1"/>
    <xf numFmtId="0" fontId="1" fillId="0" borderId="24" xfId="5" applyAlignment="1">
      <alignment horizontal="right"/>
    </xf>
    <xf numFmtId="0" fontId="75" fillId="31" borderId="24" xfId="5" applyFont="1" applyFill="1" applyAlignment="1">
      <alignment horizontal="left"/>
    </xf>
    <xf numFmtId="0" fontId="75" fillId="18" borderId="24" xfId="5" applyFont="1" applyFill="1"/>
    <xf numFmtId="0" fontId="75" fillId="18" borderId="64" xfId="5" applyFont="1" applyFill="1" applyBorder="1"/>
    <xf numFmtId="172" fontId="1" fillId="0" borderId="24" xfId="9" applyNumberFormat="1" applyFont="1"/>
    <xf numFmtId="0" fontId="1" fillId="18" borderId="24" xfId="5" applyFill="1" applyAlignment="1">
      <alignment vertical="center"/>
    </xf>
    <xf numFmtId="0" fontId="1" fillId="18" borderId="64" xfId="5" applyFill="1" applyBorder="1" applyAlignment="1">
      <alignment vertical="center"/>
    </xf>
    <xf numFmtId="166" fontId="1" fillId="0" borderId="24" xfId="9" applyNumberFormat="1" applyFont="1"/>
    <xf numFmtId="0" fontId="76" fillId="18" borderId="24" xfId="5" applyFont="1" applyFill="1" applyAlignment="1">
      <alignment horizontal="right" vertical="center"/>
    </xf>
    <xf numFmtId="0" fontId="77" fillId="31" borderId="68" xfId="5" applyFont="1" applyFill="1" applyBorder="1" applyAlignment="1">
      <alignment horizontal="center" vertical="center"/>
    </xf>
    <xf numFmtId="0" fontId="1" fillId="18" borderId="64" xfId="5" applyFill="1" applyBorder="1"/>
    <xf numFmtId="0" fontId="56" fillId="32" borderId="24" xfId="10" applyFill="1" applyBorder="1" applyAlignment="1">
      <alignment horizontal="center" vertical="center"/>
    </xf>
    <xf numFmtId="0" fontId="1" fillId="18" borderId="24" xfId="9" applyFont="1" applyFill="1" applyAlignment="1">
      <alignment vertical="center"/>
    </xf>
    <xf numFmtId="173" fontId="1" fillId="0" borderId="24" xfId="9" applyNumberFormat="1" applyFont="1"/>
    <xf numFmtId="0" fontId="56" fillId="18" borderId="24" xfId="10" applyFill="1" applyBorder="1" applyAlignment="1">
      <alignment horizontal="center" vertical="center"/>
    </xf>
    <xf numFmtId="174" fontId="18" fillId="0" borderId="24" xfId="4" applyNumberFormat="1"/>
    <xf numFmtId="0" fontId="1" fillId="18" borderId="24" xfId="5" applyFill="1" applyAlignment="1">
      <alignment horizontal="center" vertical="center"/>
    </xf>
    <xf numFmtId="175" fontId="1" fillId="0" borderId="24" xfId="9" applyNumberFormat="1" applyFont="1"/>
    <xf numFmtId="176" fontId="1" fillId="0" borderId="24" xfId="9" applyNumberFormat="1" applyFont="1"/>
    <xf numFmtId="0" fontId="69" fillId="32" borderId="24" xfId="11" applyFill="1" applyBorder="1" applyAlignment="1">
      <alignment horizontal="center" vertical="center"/>
    </xf>
    <xf numFmtId="177" fontId="18" fillId="0" borderId="24" xfId="4" applyNumberFormat="1"/>
    <xf numFmtId="178" fontId="1" fillId="0" borderId="24" xfId="9" applyNumberFormat="1" applyFont="1"/>
    <xf numFmtId="0" fontId="74" fillId="21" borderId="24" xfId="5" applyFont="1" applyFill="1" applyAlignment="1">
      <alignment horizontal="center" vertical="center"/>
    </xf>
    <xf numFmtId="0" fontId="74" fillId="21" borderId="64" xfId="5" applyFont="1" applyFill="1" applyBorder="1" applyAlignment="1">
      <alignment horizontal="center" vertical="center"/>
    </xf>
    <xf numFmtId="179" fontId="1" fillId="0" borderId="24" xfId="9" applyNumberFormat="1" applyFont="1"/>
    <xf numFmtId="0" fontId="61" fillId="18" borderId="24" xfId="9" applyFont="1" applyFill="1"/>
    <xf numFmtId="180" fontId="18" fillId="0" borderId="24" xfId="4" applyNumberFormat="1"/>
    <xf numFmtId="0" fontId="76" fillId="18" borderId="24" xfId="9" applyFont="1" applyFill="1"/>
    <xf numFmtId="181" fontId="18" fillId="0" borderId="24" xfId="4" applyNumberFormat="1"/>
    <xf numFmtId="0" fontId="50" fillId="18" borderId="24" xfId="13" applyFont="1" applyFill="1"/>
    <xf numFmtId="0" fontId="18" fillId="0" borderId="24" xfId="4"/>
    <xf numFmtId="0" fontId="78" fillId="18" borderId="24" xfId="4" applyFont="1" applyFill="1" applyAlignment="1" applyProtection="1">
      <alignment horizontal="right" vertical="center"/>
      <protection hidden="1"/>
    </xf>
    <xf numFmtId="182" fontId="1" fillId="0" borderId="24" xfId="9" applyNumberFormat="1" applyFont="1"/>
    <xf numFmtId="183" fontId="18" fillId="0" borderId="24" xfId="4" applyNumberFormat="1"/>
    <xf numFmtId="184" fontId="18" fillId="0" borderId="24" xfId="4" applyNumberFormat="1"/>
    <xf numFmtId="185" fontId="18" fillId="0" borderId="24" xfId="4" applyNumberFormat="1"/>
    <xf numFmtId="0" fontId="69" fillId="18" borderId="24" xfId="11" applyFill="1"/>
    <xf numFmtId="186" fontId="18" fillId="0" borderId="24" xfId="4" applyNumberFormat="1"/>
    <xf numFmtId="187" fontId="18" fillId="0" borderId="24" xfId="4" applyNumberFormat="1"/>
    <xf numFmtId="165" fontId="1" fillId="0" borderId="24" xfId="9" applyNumberFormat="1" applyFont="1"/>
    <xf numFmtId="164" fontId="1" fillId="0" borderId="24" xfId="9" applyNumberFormat="1" applyFont="1"/>
    <xf numFmtId="0" fontId="59" fillId="18" borderId="66" xfId="9" applyFill="1" applyBorder="1"/>
    <xf numFmtId="0" fontId="59" fillId="18" borderId="67" xfId="9" applyFill="1" applyBorder="1"/>
    <xf numFmtId="0" fontId="33" fillId="0" borderId="24" xfId="5" applyFont="1" applyAlignment="1">
      <alignment horizontal="left" vertical="center"/>
    </xf>
    <xf numFmtId="0" fontId="80" fillId="18" borderId="24" xfId="5" applyFont="1" applyFill="1" applyAlignment="1">
      <alignment horizontal="left" vertical="center"/>
    </xf>
    <xf numFmtId="0" fontId="81" fillId="0" borderId="24" xfId="9" applyFont="1"/>
    <xf numFmtId="0" fontId="38" fillId="18" borderId="24" xfId="5" applyFont="1" applyFill="1" applyAlignment="1">
      <alignment horizontal="left" vertical="center"/>
    </xf>
    <xf numFmtId="0" fontId="85" fillId="34" borderId="24" xfId="14" applyFont="1" applyFill="1" applyAlignment="1" applyProtection="1">
      <alignment horizontal="left" vertical="center"/>
      <protection locked="0"/>
    </xf>
    <xf numFmtId="166" fontId="86" fillId="34" borderId="24" xfId="14" applyNumberFormat="1" applyFont="1" applyFill="1" applyAlignment="1" applyProtection="1">
      <alignment horizontal="center" vertical="center"/>
      <protection locked="0"/>
    </xf>
    <xf numFmtId="0" fontId="87" fillId="34" borderId="24" xfId="14" applyFont="1" applyFill="1" applyAlignment="1" applyProtection="1">
      <alignment horizontal="left" vertical="center"/>
      <protection locked="0"/>
    </xf>
    <xf numFmtId="0" fontId="1" fillId="18" borderId="24" xfId="9" applyFont="1" applyFill="1" applyAlignment="1">
      <alignment horizontal="center"/>
    </xf>
    <xf numFmtId="0" fontId="89" fillId="36" borderId="60" xfId="6" applyFont="1" applyFill="1" applyBorder="1" applyAlignment="1">
      <alignment vertical="center"/>
    </xf>
    <xf numFmtId="0" fontId="90" fillId="36" borderId="62" xfId="6" applyFont="1" applyFill="1" applyBorder="1" applyAlignment="1">
      <alignment horizontal="right" vertical="center"/>
    </xf>
    <xf numFmtId="0" fontId="80" fillId="18" borderId="24" xfId="9" applyFont="1" applyFill="1" applyAlignment="1">
      <alignment horizontal="left" vertical="center"/>
    </xf>
    <xf numFmtId="0" fontId="31" fillId="18" borderId="24" xfId="9" applyFont="1" applyFill="1"/>
    <xf numFmtId="0" fontId="1" fillId="36" borderId="24" xfId="9" applyFont="1" applyFill="1"/>
    <xf numFmtId="0" fontId="1" fillId="36" borderId="24" xfId="9" applyFont="1" applyFill="1" applyAlignment="1">
      <alignment horizontal="right" vertical="center"/>
    </xf>
    <xf numFmtId="0" fontId="67" fillId="36" borderId="24" xfId="9" applyFont="1" applyFill="1" applyAlignment="1">
      <alignment horizontal="right" vertical="center"/>
    </xf>
    <xf numFmtId="0" fontId="67" fillId="36" borderId="24" xfId="9" applyFont="1" applyFill="1" applyAlignment="1">
      <alignment horizontal="left" vertical="center"/>
    </xf>
    <xf numFmtId="0" fontId="67" fillId="36" borderId="64" xfId="9" applyFont="1" applyFill="1" applyBorder="1"/>
    <xf numFmtId="0" fontId="91" fillId="18" borderId="24" xfId="10" applyFont="1" applyFill="1" applyAlignment="1">
      <alignment horizontal="left" vertical="center"/>
    </xf>
    <xf numFmtId="0" fontId="31" fillId="36" borderId="24" xfId="9" applyFont="1" applyFill="1" applyAlignment="1">
      <alignment horizontal="center" vertical="center"/>
    </xf>
    <xf numFmtId="1" fontId="33" fillId="37" borderId="24" xfId="15" applyNumberFormat="1" applyFont="1" applyFill="1" applyAlignment="1">
      <alignment horizontal="center" vertical="center"/>
    </xf>
    <xf numFmtId="0" fontId="33" fillId="37" borderId="69" xfId="7" applyFont="1" applyFill="1" applyBorder="1" applyAlignment="1">
      <alignment horizontal="left" vertical="center"/>
    </xf>
    <xf numFmtId="0" fontId="33" fillId="37" borderId="69" xfId="7" applyFont="1" applyFill="1" applyBorder="1" applyAlignment="1">
      <alignment horizontal="right" vertical="center"/>
    </xf>
    <xf numFmtId="1" fontId="33" fillId="37" borderId="69" xfId="15" applyNumberFormat="1" applyFont="1" applyFill="1" applyBorder="1" applyAlignment="1">
      <alignment horizontal="right" vertical="center"/>
    </xf>
    <xf numFmtId="172" fontId="59" fillId="37" borderId="69" xfId="9" applyNumberFormat="1" applyFill="1" applyBorder="1" applyAlignment="1">
      <alignment horizontal="center" vertical="center"/>
    </xf>
    <xf numFmtId="0" fontId="59" fillId="37" borderId="69" xfId="9" applyFill="1" applyBorder="1" applyAlignment="1">
      <alignment horizontal="right" vertical="center"/>
    </xf>
    <xf numFmtId="166" fontId="59" fillId="37" borderId="70" xfId="9" applyNumberFormat="1" applyFill="1" applyBorder="1" applyAlignment="1">
      <alignment horizontal="left" vertical="center"/>
    </xf>
    <xf numFmtId="172" fontId="59" fillId="37" borderId="24" xfId="9" applyNumberFormat="1" applyFill="1" applyAlignment="1">
      <alignment horizontal="center" vertical="center"/>
    </xf>
    <xf numFmtId="2" fontId="29" fillId="38" borderId="24" xfId="4" applyNumberFormat="1" applyFont="1" applyFill="1" applyAlignment="1" applyProtection="1">
      <alignment horizontal="center" vertical="center"/>
      <protection locked="0"/>
    </xf>
    <xf numFmtId="0" fontId="65" fillId="34" borderId="24" xfId="14" applyFont="1" applyFill="1" applyAlignment="1" applyProtection="1">
      <alignment vertical="center"/>
      <protection locked="0"/>
    </xf>
    <xf numFmtId="0" fontId="95" fillId="34" borderId="24" xfId="14" applyFont="1" applyFill="1" applyAlignment="1" applyProtection="1">
      <alignment vertical="center"/>
      <protection locked="0"/>
    </xf>
    <xf numFmtId="0" fontId="1" fillId="18" borderId="64" xfId="9" applyFont="1" applyFill="1" applyBorder="1"/>
    <xf numFmtId="0" fontId="59" fillId="37" borderId="24" xfId="9" applyFill="1" applyAlignment="1">
      <alignment horizontal="center" vertical="center"/>
    </xf>
    <xf numFmtId="0" fontId="96" fillId="34" borderId="24" xfId="14" applyFont="1" applyFill="1" applyAlignment="1" applyProtection="1">
      <alignment horizontal="right" vertical="center"/>
      <protection locked="0"/>
    </xf>
    <xf numFmtId="166" fontId="59" fillId="37" borderId="24" xfId="9" applyNumberFormat="1" applyFill="1" applyAlignment="1">
      <alignment horizontal="center" vertical="center"/>
    </xf>
    <xf numFmtId="0" fontId="72" fillId="18" borderId="24" xfId="9" applyFont="1" applyFill="1"/>
    <xf numFmtId="0" fontId="44" fillId="18" borderId="24" xfId="7" applyFont="1" applyFill="1" applyAlignment="1">
      <alignment horizontal="left" vertical="center"/>
    </xf>
    <xf numFmtId="0" fontId="98" fillId="18" borderId="24" xfId="9" applyFont="1" applyFill="1" applyAlignment="1">
      <alignment vertical="center"/>
    </xf>
    <xf numFmtId="0" fontId="80" fillId="18" borderId="24" xfId="10" applyFont="1" applyFill="1" applyBorder="1" applyAlignment="1">
      <alignment horizontal="center" vertical="center"/>
    </xf>
    <xf numFmtId="188" fontId="41" fillId="18" borderId="24" xfId="6" applyNumberFormat="1" applyFont="1" applyFill="1" applyAlignment="1" applyProtection="1">
      <alignment horizontal="center" vertical="center"/>
      <protection locked="0"/>
    </xf>
    <xf numFmtId="0" fontId="99" fillId="18" borderId="24" xfId="7" applyFont="1" applyFill="1" applyAlignment="1">
      <alignment horizontal="right" vertical="center"/>
    </xf>
    <xf numFmtId="166" fontId="100" fillId="39" borderId="24" xfId="14" applyNumberFormat="1" applyFont="1" applyFill="1" applyAlignment="1" applyProtection="1">
      <alignment horizontal="center" vertical="center"/>
      <protection locked="0"/>
    </xf>
    <xf numFmtId="0" fontId="85" fillId="40" borderId="24" xfId="14" applyFont="1" applyFill="1" applyAlignment="1" applyProtection="1">
      <alignment horizontal="left" vertical="center"/>
      <protection locked="0"/>
    </xf>
    <xf numFmtId="166" fontId="86" fillId="34" borderId="24" xfId="14" applyNumberFormat="1" applyFont="1" applyFill="1" applyAlignment="1" applyProtection="1">
      <alignment horizontal="right" vertical="center"/>
      <protection locked="0"/>
    </xf>
    <xf numFmtId="0" fontId="101" fillId="18" borderId="64" xfId="9" applyFont="1" applyFill="1" applyBorder="1" applyAlignment="1">
      <alignment horizontal="left" vertical="center"/>
    </xf>
    <xf numFmtId="0" fontId="85" fillId="34" borderId="24" xfId="14" applyFont="1" applyFill="1" applyAlignment="1" applyProtection="1">
      <alignment horizontal="right" vertical="center"/>
      <protection locked="0"/>
    </xf>
    <xf numFmtId="189" fontId="102" fillId="41" borderId="24" xfId="6" applyNumberFormat="1" applyFont="1" applyFill="1" applyAlignment="1" applyProtection="1">
      <alignment horizontal="center" vertical="center"/>
      <protection locked="0"/>
    </xf>
    <xf numFmtId="0" fontId="85" fillId="34" borderId="24" xfId="14" applyFont="1" applyFill="1" applyAlignment="1" applyProtection="1">
      <alignment horizontal="center" vertical="center"/>
      <protection locked="0"/>
    </xf>
    <xf numFmtId="0" fontId="103" fillId="18" borderId="24" xfId="14" applyFont="1" applyFill="1" applyAlignment="1" applyProtection="1">
      <alignment horizontal="right" vertical="center"/>
      <protection locked="0"/>
    </xf>
    <xf numFmtId="166" fontId="102" fillId="40" borderId="24" xfId="14" applyNumberFormat="1" applyFont="1" applyFill="1" applyAlignment="1" applyProtection="1">
      <alignment horizontal="center" vertical="center"/>
      <protection locked="0"/>
    </xf>
    <xf numFmtId="0" fontId="104" fillId="0" borderId="24" xfId="9" applyFont="1" applyAlignment="1">
      <alignment vertical="center"/>
    </xf>
    <xf numFmtId="0" fontId="101" fillId="18" borderId="64" xfId="4" applyFont="1" applyFill="1" applyBorder="1" applyAlignment="1">
      <alignment horizontal="left" vertical="center"/>
    </xf>
    <xf numFmtId="0" fontId="99" fillId="18" borderId="24" xfId="14" applyFont="1" applyFill="1" applyAlignment="1" applyProtection="1">
      <alignment horizontal="right" vertical="center"/>
      <protection locked="0"/>
    </xf>
    <xf numFmtId="1" fontId="100" fillId="42" borderId="24" xfId="4" applyNumberFormat="1" applyFont="1" applyFill="1" applyAlignment="1">
      <alignment horizontal="center" vertical="center"/>
    </xf>
    <xf numFmtId="170" fontId="37" fillId="43" borderId="24" xfId="4" applyNumberFormat="1" applyFont="1" applyFill="1" applyAlignment="1">
      <alignment vertical="center"/>
    </xf>
    <xf numFmtId="0" fontId="1" fillId="0" borderId="64" xfId="9" applyFont="1" applyBorder="1"/>
    <xf numFmtId="0" fontId="50" fillId="18" borderId="24" xfId="7" applyFont="1" applyFill="1" applyAlignment="1">
      <alignment horizontal="right" vertical="center"/>
    </xf>
    <xf numFmtId="190" fontId="50" fillId="34" borderId="24" xfId="14" applyNumberFormat="1" applyFont="1" applyFill="1" applyAlignment="1" applyProtection="1">
      <alignment horizontal="center" vertical="center"/>
      <protection locked="0"/>
    </xf>
    <xf numFmtId="0" fontId="105" fillId="18" borderId="24" xfId="9" applyFont="1" applyFill="1" applyAlignment="1">
      <alignment vertical="center"/>
    </xf>
    <xf numFmtId="190" fontId="106" fillId="34" borderId="24" xfId="14" applyNumberFormat="1" applyFont="1" applyFill="1" applyAlignment="1" applyProtection="1">
      <alignment horizontal="right" vertical="center"/>
      <protection locked="0"/>
    </xf>
    <xf numFmtId="0" fontId="107" fillId="18" borderId="64" xfId="4" applyFont="1" applyFill="1" applyBorder="1" applyAlignment="1">
      <alignment horizontal="left" vertical="center"/>
    </xf>
    <xf numFmtId="0" fontId="72" fillId="18" borderId="24" xfId="7" applyFont="1" applyFill="1" applyAlignment="1">
      <alignment horizontal="right" vertical="center"/>
    </xf>
    <xf numFmtId="0" fontId="108" fillId="18" borderId="24" xfId="15" applyFont="1" applyFill="1" applyAlignment="1">
      <alignment horizontal="center" vertical="center"/>
    </xf>
    <xf numFmtId="0" fontId="72" fillId="29" borderId="24" xfId="4" applyFont="1" applyFill="1" applyAlignment="1">
      <alignment horizontal="right" vertical="center"/>
    </xf>
    <xf numFmtId="191" fontId="72" fillId="34" borderId="24" xfId="14" applyNumberFormat="1" applyFont="1" applyFill="1" applyAlignment="1" applyProtection="1">
      <alignment horizontal="center" vertical="center"/>
      <protection locked="0"/>
    </xf>
    <xf numFmtId="0" fontId="72" fillId="18" borderId="24" xfId="4" applyFont="1" applyFill="1" applyAlignment="1">
      <alignment horizontal="right" vertical="center"/>
    </xf>
    <xf numFmtId="0" fontId="50" fillId="41" borderId="24" xfId="4" applyFont="1" applyFill="1" applyAlignment="1">
      <alignment vertical="center"/>
    </xf>
    <xf numFmtId="0" fontId="100" fillId="41" borderId="24" xfId="4" applyFont="1" applyFill="1" applyAlignment="1">
      <alignment vertical="center"/>
    </xf>
    <xf numFmtId="0" fontId="100" fillId="41" borderId="64" xfId="4" applyFont="1" applyFill="1" applyBorder="1" applyAlignment="1">
      <alignment vertical="center"/>
    </xf>
    <xf numFmtId="0" fontId="109" fillId="18" borderId="24" xfId="12" applyFont="1" applyFill="1" applyAlignment="1">
      <alignment horizontal="left" vertical="center"/>
    </xf>
    <xf numFmtId="0" fontId="96" fillId="34" borderId="24" xfId="14" applyFont="1" applyFill="1" applyAlignment="1" applyProtection="1">
      <alignment horizontal="left" vertical="center"/>
      <protection locked="0"/>
    </xf>
    <xf numFmtId="0" fontId="110" fillId="34" borderId="24" xfId="14" applyFont="1" applyFill="1" applyAlignment="1" applyProtection="1">
      <alignment horizontal="left" vertical="center"/>
      <protection locked="0"/>
    </xf>
    <xf numFmtId="0" fontId="111" fillId="18" borderId="24" xfId="7" applyFont="1" applyFill="1" applyAlignment="1">
      <alignment horizontal="left" vertical="center"/>
    </xf>
    <xf numFmtId="0" fontId="111" fillId="34" borderId="24" xfId="14" applyFont="1" applyFill="1" applyAlignment="1" applyProtection="1">
      <alignment horizontal="left" vertical="center"/>
      <protection locked="0"/>
    </xf>
    <xf numFmtId="0" fontId="112" fillId="18" borderId="24" xfId="14" applyFont="1" applyFill="1" applyAlignment="1" applyProtection="1">
      <alignment horizontal="left" vertical="center"/>
      <protection locked="0"/>
    </xf>
    <xf numFmtId="0" fontId="41" fillId="0" borderId="24" xfId="5" applyFont="1" applyAlignment="1">
      <alignment horizontal="center" vertical="center"/>
    </xf>
    <xf numFmtId="0" fontId="87" fillId="40" borderId="24" xfId="14" applyFont="1" applyFill="1" applyAlignment="1" applyProtection="1">
      <alignment horizontal="left" vertical="center"/>
      <protection locked="0"/>
    </xf>
    <xf numFmtId="0" fontId="99" fillId="18" borderId="24" xfId="14" applyFont="1" applyFill="1" applyAlignment="1" applyProtection="1">
      <alignment horizontal="left" vertical="center"/>
      <protection locked="0"/>
    </xf>
    <xf numFmtId="0" fontId="44" fillId="34" borderId="24" xfId="14" applyFont="1" applyFill="1" applyAlignment="1" applyProtection="1">
      <alignment horizontal="right" vertical="center"/>
      <protection locked="0"/>
    </xf>
    <xf numFmtId="0" fontId="76" fillId="18" borderId="24" xfId="9" applyFont="1" applyFill="1" applyAlignment="1">
      <alignment horizontal="left" vertical="center"/>
    </xf>
    <xf numFmtId="0" fontId="102" fillId="18" borderId="64" xfId="4" applyFont="1" applyFill="1" applyBorder="1" applyAlignment="1">
      <alignment horizontal="center" vertical="center"/>
    </xf>
    <xf numFmtId="0" fontId="108" fillId="18" borderId="24" xfId="4" applyFont="1" applyFill="1" applyAlignment="1">
      <alignment horizontal="center" vertical="center"/>
    </xf>
    <xf numFmtId="0" fontId="71" fillId="18" borderId="24" xfId="5" applyFont="1" applyFill="1" applyAlignment="1">
      <alignment horizontal="left" vertical="center"/>
    </xf>
    <xf numFmtId="0" fontId="70" fillId="18" borderId="24" xfId="9" applyFont="1" applyFill="1" applyAlignment="1">
      <alignment horizontal="left" vertical="center"/>
    </xf>
    <xf numFmtId="0" fontId="114" fillId="44" borderId="60" xfId="6" applyFont="1" applyFill="1" applyBorder="1" applyAlignment="1">
      <alignment vertical="center"/>
    </xf>
    <xf numFmtId="0" fontId="29" fillId="44" borderId="62" xfId="6" applyFont="1" applyFill="1" applyBorder="1" applyAlignment="1">
      <alignment horizontal="right" vertical="center"/>
    </xf>
    <xf numFmtId="0" fontId="70" fillId="18" borderId="24" xfId="9" applyFont="1" applyFill="1" applyAlignment="1">
      <alignment horizontal="center"/>
    </xf>
    <xf numFmtId="0" fontId="32" fillId="44" borderId="24" xfId="9" applyFont="1" applyFill="1"/>
    <xf numFmtId="0" fontId="32" fillId="44" borderId="24" xfId="9" applyFont="1" applyFill="1" applyAlignment="1">
      <alignment horizontal="right" vertical="center"/>
    </xf>
    <xf numFmtId="0" fontId="63" fillId="44" borderId="24" xfId="9" applyFont="1" applyFill="1" applyAlignment="1">
      <alignment horizontal="right" vertical="center"/>
    </xf>
    <xf numFmtId="0" fontId="63" fillId="44" borderId="24" xfId="9" applyFont="1" applyFill="1" applyAlignment="1">
      <alignment horizontal="left" vertical="center"/>
    </xf>
    <xf numFmtId="0" fontId="32" fillId="44" borderId="64" xfId="9" applyFont="1" applyFill="1" applyBorder="1"/>
    <xf numFmtId="0" fontId="115" fillId="18" borderId="24" xfId="4" applyFont="1" applyFill="1" applyAlignment="1">
      <alignment horizontal="center" vertical="center"/>
    </xf>
    <xf numFmtId="0" fontId="29" fillId="44" borderId="24" xfId="9" applyFont="1" applyFill="1" applyAlignment="1">
      <alignment horizontal="center" vertical="center"/>
    </xf>
    <xf numFmtId="1" fontId="29" fillId="45" borderId="24" xfId="15" applyNumberFormat="1" applyFont="1" applyFill="1" applyAlignment="1">
      <alignment horizontal="center" vertical="center"/>
    </xf>
    <xf numFmtId="0" fontId="117" fillId="45" borderId="69" xfId="7" applyFont="1" applyFill="1" applyBorder="1" applyAlignment="1">
      <alignment horizontal="left" vertical="center"/>
    </xf>
    <xf numFmtId="0" fontId="63" fillId="45" borderId="69" xfId="7" applyFont="1" applyFill="1" applyBorder="1" applyAlignment="1">
      <alignment horizontal="right" vertical="center"/>
    </xf>
    <xf numFmtId="1" fontId="63" fillId="45" borderId="69" xfId="15" applyNumberFormat="1" applyFont="1" applyFill="1" applyBorder="1" applyAlignment="1">
      <alignment horizontal="right" vertical="center"/>
    </xf>
    <xf numFmtId="172" fontId="63" fillId="45" borderId="69" xfId="9" applyNumberFormat="1" applyFont="1" applyFill="1" applyBorder="1" applyAlignment="1">
      <alignment horizontal="center" vertical="center"/>
    </xf>
    <xf numFmtId="0" fontId="117" fillId="45" borderId="69" xfId="9" applyFont="1" applyFill="1" applyBorder="1" applyAlignment="1">
      <alignment horizontal="right" vertical="center"/>
    </xf>
    <xf numFmtId="166" fontId="117" fillId="45" borderId="70" xfId="9" applyNumberFormat="1" applyFont="1" applyFill="1" applyBorder="1" applyAlignment="1">
      <alignment horizontal="left" vertical="center"/>
    </xf>
    <xf numFmtId="172" fontId="29" fillId="45" borderId="24" xfId="9" applyNumberFormat="1" applyFont="1" applyFill="1" applyAlignment="1">
      <alignment horizontal="center" vertical="center"/>
    </xf>
    <xf numFmtId="0" fontId="63" fillId="45" borderId="73" xfId="4" applyFont="1" applyFill="1" applyBorder="1" applyAlignment="1">
      <alignment horizontal="center" vertical="center" wrapText="1"/>
    </xf>
    <xf numFmtId="0" fontId="118" fillId="34" borderId="24" xfId="14" applyFont="1" applyFill="1" applyAlignment="1" applyProtection="1">
      <alignment vertical="center"/>
      <protection locked="0"/>
    </xf>
    <xf numFmtId="0" fontId="32" fillId="45" borderId="24" xfId="9" applyFont="1" applyFill="1" applyAlignment="1">
      <alignment horizontal="center" vertical="center"/>
    </xf>
    <xf numFmtId="166" fontId="32" fillId="45" borderId="24" xfId="9" applyNumberFormat="1" applyFont="1" applyFill="1" applyAlignment="1">
      <alignment horizontal="center" vertical="center"/>
    </xf>
    <xf numFmtId="0" fontId="1" fillId="0" borderId="24" xfId="9" applyFont="1" applyAlignment="1">
      <alignment horizontal="center"/>
    </xf>
    <xf numFmtId="166" fontId="100" fillId="40" borderId="24" xfId="14" applyNumberFormat="1" applyFont="1" applyFill="1" applyAlignment="1" applyProtection="1">
      <alignment horizontal="center" vertical="center"/>
      <protection locked="0"/>
    </xf>
    <xf numFmtId="0" fontId="56" fillId="18" borderId="24" xfId="8" applyFill="1" applyAlignment="1">
      <alignment horizontal="center" vertical="center"/>
    </xf>
    <xf numFmtId="0" fontId="111" fillId="34" borderId="24" xfId="14" applyFont="1" applyFill="1" applyAlignment="1" applyProtection="1">
      <alignment horizontal="right" vertical="center"/>
      <protection locked="0"/>
    </xf>
    <xf numFmtId="0" fontId="119" fillId="40" borderId="24" xfId="14" applyFont="1" applyFill="1" applyAlignment="1" applyProtection="1">
      <alignment horizontal="center" vertical="center"/>
      <protection locked="0"/>
    </xf>
    <xf numFmtId="0" fontId="107" fillId="18" borderId="24" xfId="9" applyFont="1" applyFill="1" applyAlignment="1">
      <alignment horizontal="right" vertical="top"/>
    </xf>
    <xf numFmtId="0" fontId="107" fillId="18" borderId="64" xfId="9" applyFont="1" applyFill="1" applyBorder="1" applyAlignment="1">
      <alignment horizontal="left" vertical="top"/>
    </xf>
    <xf numFmtId="0" fontId="107" fillId="18" borderId="24" xfId="9" applyFont="1" applyFill="1" applyAlignment="1">
      <alignment horizontal="center" vertical="top"/>
    </xf>
    <xf numFmtId="166" fontId="120" fillId="40" borderId="24" xfId="14" applyNumberFormat="1" applyFont="1" applyFill="1" applyAlignment="1" applyProtection="1">
      <alignment horizontal="center" vertical="center"/>
      <protection locked="0"/>
    </xf>
    <xf numFmtId="0" fontId="1" fillId="18" borderId="24" xfId="9" quotePrefix="1" applyFont="1" applyFill="1" applyAlignment="1">
      <alignment vertical="center"/>
    </xf>
    <xf numFmtId="1" fontId="100" fillId="46" borderId="24" xfId="4" applyNumberFormat="1" applyFont="1" applyFill="1" applyAlignment="1">
      <alignment horizontal="center" vertical="center"/>
    </xf>
    <xf numFmtId="170" fontId="107" fillId="43" borderId="24" xfId="4" applyNumberFormat="1" applyFont="1" applyFill="1" applyAlignment="1">
      <alignment vertical="center"/>
    </xf>
    <xf numFmtId="0" fontId="101" fillId="18" borderId="24" xfId="4" applyFont="1" applyFill="1" applyAlignment="1">
      <alignment horizontal="center" vertical="center"/>
    </xf>
    <xf numFmtId="0" fontId="102" fillId="18" borderId="24" xfId="4" applyFont="1" applyFill="1" applyAlignment="1">
      <alignment horizontal="right" vertical="center"/>
    </xf>
    <xf numFmtId="0" fontId="89" fillId="48" borderId="60" xfId="6" applyFont="1" applyFill="1" applyBorder="1" applyAlignment="1">
      <alignment vertical="center"/>
    </xf>
    <xf numFmtId="0" fontId="61" fillId="48" borderId="62" xfId="6" applyFont="1" applyFill="1" applyBorder="1" applyAlignment="1">
      <alignment horizontal="right" vertical="center"/>
    </xf>
    <xf numFmtId="0" fontId="1" fillId="48" borderId="24" xfId="9" applyFont="1" applyFill="1"/>
    <xf numFmtId="0" fontId="1" fillId="48" borderId="24" xfId="9" applyFont="1" applyFill="1" applyAlignment="1">
      <alignment horizontal="right" vertical="center"/>
    </xf>
    <xf numFmtId="0" fontId="67" fillId="48" borderId="24" xfId="9" applyFont="1" applyFill="1" applyAlignment="1">
      <alignment horizontal="right" vertical="center"/>
    </xf>
    <xf numFmtId="0" fontId="67" fillId="48" borderId="24" xfId="9" applyFont="1" applyFill="1" applyAlignment="1">
      <alignment horizontal="left" vertical="center"/>
    </xf>
    <xf numFmtId="0" fontId="67" fillId="48" borderId="64" xfId="9" applyFont="1" applyFill="1" applyBorder="1"/>
    <xf numFmtId="0" fontId="33" fillId="37" borderId="24" xfId="7" applyFont="1" applyFill="1" applyAlignment="1">
      <alignment horizontal="left" vertical="center"/>
    </xf>
    <xf numFmtId="0" fontId="33" fillId="37" borderId="24" xfId="7" applyFont="1" applyFill="1" applyAlignment="1">
      <alignment horizontal="right" vertical="center"/>
    </xf>
    <xf numFmtId="0" fontId="108" fillId="37" borderId="24" xfId="15" applyFont="1" applyFill="1" applyAlignment="1">
      <alignment horizontal="center" vertical="center"/>
    </xf>
    <xf numFmtId="0" fontId="108" fillId="37" borderId="24" xfId="14" applyFont="1" applyFill="1" applyAlignment="1" applyProtection="1">
      <alignment horizontal="left" vertical="center"/>
      <protection locked="0"/>
    </xf>
    <xf numFmtId="0" fontId="1" fillId="37" borderId="24" xfId="5" applyFill="1"/>
    <xf numFmtId="0" fontId="1" fillId="37" borderId="64" xfId="5" applyFill="1" applyBorder="1"/>
    <xf numFmtId="0" fontId="108" fillId="37" borderId="24" xfId="4" applyFont="1" applyFill="1" applyAlignment="1">
      <alignment horizontal="right" vertical="center"/>
    </xf>
    <xf numFmtId="192" fontId="108" fillId="37" borderId="24" xfId="15" applyNumberFormat="1" applyFont="1" applyFill="1" applyAlignment="1">
      <alignment horizontal="center" vertical="center"/>
    </xf>
    <xf numFmtId="0" fontId="31" fillId="37" borderId="24" xfId="5" applyFont="1" applyFill="1" applyAlignment="1">
      <alignment vertical="center"/>
    </xf>
    <xf numFmtId="0" fontId="31" fillId="37" borderId="64" xfId="5" applyFont="1" applyFill="1" applyBorder="1" applyAlignment="1">
      <alignment vertical="center"/>
    </xf>
    <xf numFmtId="0" fontId="1" fillId="37" borderId="69" xfId="5" applyFill="1" applyBorder="1" applyAlignment="1">
      <alignment horizontal="right" vertical="center"/>
    </xf>
    <xf numFmtId="0" fontId="1" fillId="37" borderId="69" xfId="5" applyFill="1" applyBorder="1" applyAlignment="1">
      <alignment horizontal="center" vertical="center"/>
    </xf>
    <xf numFmtId="0" fontId="121" fillId="37" borderId="69" xfId="5" applyFont="1" applyFill="1" applyBorder="1" applyAlignment="1">
      <alignment horizontal="right" vertical="center"/>
    </xf>
    <xf numFmtId="188" fontId="72" fillId="49" borderId="69" xfId="14" applyNumberFormat="1" applyFont="1" applyFill="1" applyBorder="1" applyAlignment="1" applyProtection="1">
      <alignment horizontal="center" vertical="center"/>
      <protection locked="0"/>
    </xf>
    <xf numFmtId="188" fontId="72" fillId="49" borderId="70" xfId="14" applyNumberFormat="1" applyFont="1" applyFill="1" applyBorder="1" applyAlignment="1" applyProtection="1">
      <alignment horizontal="center" vertical="center"/>
      <protection locked="0"/>
    </xf>
    <xf numFmtId="0" fontId="97" fillId="35" borderId="24" xfId="14" applyFont="1" applyFill="1" applyAlignment="1" applyProtection="1">
      <alignment vertical="center"/>
      <protection locked="0"/>
    </xf>
    <xf numFmtId="0" fontId="97" fillId="18" borderId="64" xfId="14" applyFont="1" applyFill="1" applyBorder="1" applyAlignment="1" applyProtection="1">
      <alignment vertical="center"/>
      <protection locked="0"/>
    </xf>
    <xf numFmtId="0" fontId="122" fillId="18" borderId="24" xfId="5" applyFont="1" applyFill="1" applyAlignment="1">
      <alignment horizontal="right" vertical="center"/>
    </xf>
    <xf numFmtId="0" fontId="123" fillId="40" borderId="24" xfId="14" applyFont="1" applyFill="1" applyAlignment="1" applyProtection="1">
      <alignment horizontal="center" vertical="center" wrapText="1"/>
      <protection locked="0"/>
    </xf>
    <xf numFmtId="0" fontId="124" fillId="18" borderId="24" xfId="14" applyFont="1" applyFill="1" applyAlignment="1" applyProtection="1">
      <alignment horizontal="left" vertical="center"/>
      <protection locked="0"/>
    </xf>
    <xf numFmtId="0" fontId="97" fillId="18" borderId="64" xfId="14" applyFont="1" applyFill="1" applyBorder="1" applyAlignment="1" applyProtection="1">
      <alignment horizontal="center" vertical="center"/>
      <protection locked="0"/>
    </xf>
    <xf numFmtId="1" fontId="100" fillId="40" borderId="24" xfId="14" applyNumberFormat="1" applyFont="1" applyFill="1" applyAlignment="1" applyProtection="1">
      <alignment horizontal="center" vertical="center"/>
      <protection locked="0"/>
    </xf>
    <xf numFmtId="0" fontId="1" fillId="0" borderId="64" xfId="5" applyBorder="1"/>
    <xf numFmtId="0" fontId="125" fillId="18" borderId="24" xfId="5" applyFont="1" applyFill="1" applyAlignment="1">
      <alignment horizontal="right" vertical="center"/>
    </xf>
    <xf numFmtId="0" fontId="101" fillId="18" borderId="24" xfId="4" applyFont="1" applyFill="1" applyAlignment="1">
      <alignment horizontal="left" vertical="center"/>
    </xf>
    <xf numFmtId="0" fontId="126" fillId="34" borderId="24" xfId="14" applyFont="1" applyFill="1" applyAlignment="1" applyProtection="1">
      <alignment horizontal="right" vertical="center"/>
      <protection locked="0"/>
    </xf>
    <xf numFmtId="0" fontId="127" fillId="18" borderId="24" xfId="14" applyFont="1" applyFill="1" applyAlignment="1" applyProtection="1">
      <alignment horizontal="right" vertical="center"/>
      <protection locked="0"/>
    </xf>
    <xf numFmtId="0" fontId="77" fillId="50" borderId="24" xfId="15" applyFont="1" applyFill="1" applyAlignment="1">
      <alignment horizontal="center" vertical="center"/>
    </xf>
    <xf numFmtId="170" fontId="128" fillId="43" borderId="24" xfId="4" applyNumberFormat="1" applyFont="1" applyFill="1" applyAlignment="1">
      <alignment vertical="center"/>
    </xf>
    <xf numFmtId="191" fontId="100" fillId="40" borderId="24" xfId="14" applyNumberFormat="1" applyFont="1" applyFill="1" applyAlignment="1" applyProtection="1">
      <alignment horizontal="center" vertical="center"/>
      <protection locked="0"/>
    </xf>
    <xf numFmtId="166" fontId="72" fillId="34" borderId="24" xfId="14" applyNumberFormat="1" applyFont="1" applyFill="1" applyAlignment="1" applyProtection="1">
      <alignment horizontal="center" vertical="center"/>
      <protection locked="0"/>
    </xf>
    <xf numFmtId="191" fontId="100" fillId="34" borderId="24" xfId="14" applyNumberFormat="1" applyFont="1" applyFill="1" applyAlignment="1" applyProtection="1">
      <alignment horizontal="center" vertical="center"/>
      <protection locked="0"/>
    </xf>
    <xf numFmtId="0" fontId="76" fillId="18" borderId="24" xfId="5" applyFont="1" applyFill="1" applyAlignment="1">
      <alignment horizontal="left" vertical="center"/>
    </xf>
    <xf numFmtId="188" fontId="72" fillId="34" borderId="24" xfId="14" applyNumberFormat="1" applyFont="1" applyFill="1" applyAlignment="1" applyProtection="1">
      <alignment horizontal="center" vertical="center"/>
      <protection locked="0"/>
    </xf>
    <xf numFmtId="0" fontId="121" fillId="18" borderId="24" xfId="4" applyFont="1" applyFill="1" applyAlignment="1">
      <alignment horizontal="left" vertical="center"/>
    </xf>
    <xf numFmtId="0" fontId="127" fillId="18" borderId="24" xfId="14" applyFont="1" applyFill="1" applyAlignment="1" applyProtection="1">
      <alignment horizontal="left" vertical="center"/>
      <protection locked="0"/>
    </xf>
    <xf numFmtId="0" fontId="76" fillId="18" borderId="24" xfId="9" applyFont="1" applyFill="1" applyAlignment="1">
      <alignment horizontal="right" vertical="center"/>
    </xf>
    <xf numFmtId="0" fontId="102" fillId="18" borderId="24" xfId="4" applyFont="1" applyFill="1" applyAlignment="1">
      <alignment horizontal="left" vertical="center"/>
    </xf>
    <xf numFmtId="0" fontId="37" fillId="51" borderId="74" xfId="15" applyFont="1" applyFill="1" applyBorder="1" applyAlignment="1" applyProtection="1">
      <alignment horizontal="centerContinuous" vertical="center"/>
      <protection locked="0"/>
    </xf>
    <xf numFmtId="0" fontId="37" fillId="51" borderId="75" xfId="15" applyFont="1" applyFill="1" applyBorder="1" applyAlignment="1" applyProtection="1">
      <alignment horizontal="centerContinuous" vertical="center"/>
      <protection locked="0"/>
    </xf>
    <xf numFmtId="0" fontId="37" fillId="52" borderId="75" xfId="15" applyFont="1" applyFill="1" applyBorder="1" applyAlignment="1" applyProtection="1">
      <alignment horizontal="centerContinuous" vertical="center"/>
      <protection locked="0"/>
    </xf>
    <xf numFmtId="0" fontId="37" fillId="51" borderId="76" xfId="15" applyFont="1" applyFill="1" applyBorder="1" applyAlignment="1" applyProtection="1">
      <alignment horizontal="right" vertical="center"/>
      <protection locked="0"/>
    </xf>
    <xf numFmtId="0" fontId="72" fillId="18" borderId="24" xfId="5" applyFont="1" applyFill="1" applyAlignment="1">
      <alignment vertical="center"/>
    </xf>
    <xf numFmtId="0" fontId="1" fillId="24" borderId="77" xfId="16" applyFill="1" applyBorder="1" applyAlignment="1">
      <alignment horizontal="center" vertical="center"/>
    </xf>
    <xf numFmtId="0" fontId="92" fillId="18" borderId="69" xfId="4" applyFont="1" applyFill="1" applyBorder="1" applyAlignment="1">
      <alignment horizontal="left" vertical="center"/>
    </xf>
    <xf numFmtId="0" fontId="56" fillId="18" borderId="73" xfId="8" applyFill="1" applyBorder="1" applyAlignment="1">
      <alignment vertical="center"/>
    </xf>
    <xf numFmtId="0" fontId="56" fillId="18" borderId="78" xfId="8" applyFill="1" applyBorder="1" applyAlignment="1">
      <alignment vertical="center"/>
    </xf>
    <xf numFmtId="0" fontId="129" fillId="18" borderId="24" xfId="16" applyFont="1" applyFill="1" applyAlignment="1" applyProtection="1">
      <alignment horizontal="left" vertical="center"/>
      <protection locked="0"/>
    </xf>
    <xf numFmtId="0" fontId="129" fillId="18" borderId="71" xfId="16" applyFont="1" applyFill="1" applyBorder="1" applyAlignment="1" applyProtection="1">
      <alignment horizontal="right" vertical="center"/>
      <protection locked="0"/>
    </xf>
    <xf numFmtId="193" fontId="130" fillId="54" borderId="28" xfId="16" applyNumberFormat="1" applyFont="1" applyFill="1" applyBorder="1" applyAlignment="1" applyProtection="1">
      <alignment horizontal="center" vertical="center"/>
      <protection locked="0"/>
    </xf>
    <xf numFmtId="0" fontId="72" fillId="18" borderId="24" xfId="4" applyFont="1" applyFill="1" applyProtection="1">
      <protection hidden="1"/>
    </xf>
    <xf numFmtId="0" fontId="129" fillId="18" borderId="24" xfId="16" applyFont="1" applyFill="1" applyAlignment="1" applyProtection="1">
      <alignment horizontal="right" vertical="center"/>
      <protection locked="0"/>
    </xf>
    <xf numFmtId="0" fontId="131" fillId="18" borderId="24" xfId="16" applyFont="1" applyFill="1" applyAlignment="1" applyProtection="1">
      <alignment horizontal="right" vertical="center"/>
      <protection locked="0"/>
    </xf>
    <xf numFmtId="193" fontId="132" fillId="54" borderId="64" xfId="16" applyNumberFormat="1" applyFont="1" applyFill="1" applyBorder="1" applyAlignment="1" applyProtection="1">
      <alignment horizontal="center" vertical="center"/>
      <protection locked="0"/>
    </xf>
    <xf numFmtId="0" fontId="133" fillId="18" borderId="24" xfId="16" applyFont="1" applyFill="1" applyAlignment="1" applyProtection="1">
      <alignment horizontal="left" vertical="center"/>
      <protection locked="0"/>
    </xf>
    <xf numFmtId="0" fontId="133" fillId="18" borderId="24" xfId="16" applyFont="1" applyFill="1" applyAlignment="1" applyProtection="1">
      <alignment horizontal="right" vertical="center"/>
      <protection locked="0"/>
    </xf>
    <xf numFmtId="182" fontId="132" fillId="54" borderId="28" xfId="16" applyNumberFormat="1" applyFont="1" applyFill="1" applyBorder="1" applyAlignment="1" applyProtection="1">
      <alignment horizontal="center" vertical="center"/>
      <protection locked="0"/>
    </xf>
    <xf numFmtId="193" fontId="132" fillId="54" borderId="28" xfId="16" applyNumberFormat="1" applyFont="1" applyFill="1" applyBorder="1" applyAlignment="1" applyProtection="1">
      <alignment horizontal="center" vertical="center"/>
      <protection locked="0"/>
    </xf>
    <xf numFmtId="193" fontId="130" fillId="35" borderId="64" xfId="16" applyNumberFormat="1" applyFont="1" applyFill="1" applyBorder="1" applyAlignment="1" applyProtection="1">
      <alignment horizontal="center" vertical="center"/>
      <protection locked="0"/>
    </xf>
    <xf numFmtId="0" fontId="33" fillId="18" borderId="24" xfId="16" applyFont="1" applyFill="1" applyAlignment="1" applyProtection="1">
      <alignment horizontal="left" vertical="center"/>
      <protection locked="0"/>
    </xf>
    <xf numFmtId="0" fontId="33" fillId="18" borderId="24" xfId="16" applyFont="1" applyFill="1" applyAlignment="1" applyProtection="1">
      <alignment horizontal="right" vertical="center"/>
      <protection locked="0"/>
    </xf>
    <xf numFmtId="193" fontId="50" fillId="18" borderId="28" xfId="16" applyNumberFormat="1" applyFont="1" applyFill="1" applyBorder="1" applyAlignment="1" applyProtection="1">
      <alignment horizontal="center" vertical="center"/>
      <protection locked="0"/>
    </xf>
    <xf numFmtId="0" fontId="72" fillId="18" borderId="24" xfId="16" applyFont="1" applyFill="1" applyAlignment="1" applyProtection="1">
      <alignment horizontal="right" vertical="center"/>
      <protection locked="0"/>
    </xf>
    <xf numFmtId="193" fontId="50" fillId="18" borderId="64" xfId="16" applyNumberFormat="1" applyFont="1" applyFill="1" applyBorder="1" applyAlignment="1" applyProtection="1">
      <alignment horizontal="center" vertical="center"/>
      <protection locked="0"/>
    </xf>
    <xf numFmtId="0" fontId="72" fillId="18" borderId="69" xfId="16" applyFont="1" applyFill="1" applyBorder="1" applyAlignment="1" applyProtection="1">
      <alignment horizontal="left" vertical="center"/>
      <protection locked="0"/>
    </xf>
    <xf numFmtId="0" fontId="50" fillId="18" borderId="24" xfId="16" applyFont="1" applyFill="1" applyAlignment="1" applyProtection="1">
      <alignment horizontal="right" vertical="center"/>
      <protection locked="0"/>
    </xf>
    <xf numFmtId="182" fontId="50" fillId="18" borderId="28" xfId="16" applyNumberFormat="1" applyFont="1" applyFill="1" applyBorder="1" applyAlignment="1" applyProtection="1">
      <alignment horizontal="center" vertical="center"/>
      <protection locked="0"/>
    </xf>
    <xf numFmtId="182" fontId="50" fillId="18" borderId="64" xfId="16" applyNumberFormat="1" applyFont="1" applyFill="1" applyBorder="1" applyAlignment="1" applyProtection="1">
      <alignment horizontal="center" vertical="center"/>
      <protection locked="0"/>
    </xf>
    <xf numFmtId="0" fontId="72" fillId="24" borderId="73" xfId="16" applyFont="1" applyFill="1" applyBorder="1" applyAlignment="1" applyProtection="1">
      <alignment horizontal="left" vertical="center"/>
      <protection locked="0"/>
    </xf>
    <xf numFmtId="0" fontId="72" fillId="24" borderId="73" xfId="16" applyFont="1" applyFill="1" applyBorder="1" applyAlignment="1" applyProtection="1">
      <alignment horizontal="right" vertical="center"/>
      <protection locked="0"/>
    </xf>
    <xf numFmtId="193" fontId="50" fillId="24" borderId="73" xfId="16" applyNumberFormat="1" applyFont="1" applyFill="1" applyBorder="1" applyAlignment="1" applyProtection="1">
      <alignment horizontal="center" vertical="center"/>
      <protection locked="0"/>
    </xf>
    <xf numFmtId="0" fontId="72" fillId="24" borderId="73" xfId="4" applyFont="1" applyFill="1" applyBorder="1" applyProtection="1">
      <protection hidden="1"/>
    </xf>
    <xf numFmtId="0" fontId="50" fillId="24" borderId="73" xfId="16" applyFont="1" applyFill="1" applyBorder="1" applyAlignment="1" applyProtection="1">
      <alignment horizontal="right" vertical="center"/>
      <protection locked="0"/>
    </xf>
    <xf numFmtId="182" fontId="50" fillId="24" borderId="73" xfId="16" applyNumberFormat="1" applyFont="1" applyFill="1" applyBorder="1" applyAlignment="1" applyProtection="1">
      <alignment horizontal="center" vertical="center"/>
      <protection locked="0"/>
    </xf>
    <xf numFmtId="182" fontId="50" fillId="24" borderId="78" xfId="16" applyNumberFormat="1" applyFont="1" applyFill="1" applyBorder="1" applyAlignment="1" applyProtection="1">
      <alignment horizontal="center" vertical="center"/>
      <protection locked="0"/>
    </xf>
    <xf numFmtId="0" fontId="131" fillId="18" borderId="24" xfId="16" applyFont="1" applyFill="1" applyAlignment="1" applyProtection="1">
      <alignment horizontal="left" vertical="center"/>
      <protection locked="0"/>
    </xf>
    <xf numFmtId="189" fontId="134" fillId="54" borderId="28" xfId="16" applyNumberFormat="1" applyFont="1" applyFill="1" applyBorder="1" applyAlignment="1" applyProtection="1">
      <alignment horizontal="center" vertical="center"/>
      <protection locked="0"/>
    </xf>
    <xf numFmtId="0" fontId="50" fillId="18" borderId="30" xfId="16" applyFont="1" applyFill="1" applyBorder="1" applyAlignment="1" applyProtection="1">
      <alignment horizontal="left" vertical="center"/>
      <protection locked="0"/>
    </xf>
    <xf numFmtId="0" fontId="50" fillId="18" borderId="30" xfId="16" applyFont="1" applyFill="1" applyBorder="1" applyAlignment="1" applyProtection="1">
      <alignment horizontal="right" vertical="center"/>
      <protection locked="0"/>
    </xf>
    <xf numFmtId="182" fontId="50" fillId="18" borderId="31" xfId="16" applyNumberFormat="1" applyFont="1" applyFill="1" applyBorder="1" applyAlignment="1" applyProtection="1">
      <alignment horizontal="center" vertical="center"/>
      <protection locked="0"/>
    </xf>
    <xf numFmtId="0" fontId="72" fillId="18" borderId="30" xfId="16" applyFont="1" applyFill="1" applyBorder="1" applyAlignment="1" applyProtection="1">
      <alignment horizontal="right" vertical="center"/>
      <protection locked="0"/>
    </xf>
    <xf numFmtId="193" fontId="50" fillId="18" borderId="31" xfId="16" applyNumberFormat="1" applyFont="1" applyFill="1" applyBorder="1" applyAlignment="1" applyProtection="1">
      <alignment horizontal="center" vertical="center"/>
      <protection locked="0"/>
    </xf>
    <xf numFmtId="182" fontId="50" fillId="18" borderId="79" xfId="16" applyNumberFormat="1" applyFont="1" applyFill="1" applyBorder="1" applyAlignment="1" applyProtection="1">
      <alignment horizontal="center" vertical="center"/>
      <protection locked="0"/>
    </xf>
    <xf numFmtId="0" fontId="37" fillId="21" borderId="82" xfId="15" applyFont="1" applyFill="1" applyBorder="1" applyAlignment="1" applyProtection="1">
      <alignment horizontal="left" vertical="center"/>
      <protection locked="0"/>
    </xf>
    <xf numFmtId="0" fontId="37" fillId="21" borderId="83" xfId="15" applyFont="1" applyFill="1" applyBorder="1" applyAlignment="1" applyProtection="1">
      <alignment horizontal="centerContinuous" vertical="center"/>
      <protection locked="0"/>
    </xf>
    <xf numFmtId="0" fontId="37" fillId="21" borderId="84" xfId="15" applyFont="1" applyFill="1" applyBorder="1" applyAlignment="1" applyProtection="1">
      <alignment horizontal="right" vertical="center"/>
      <protection locked="0"/>
    </xf>
    <xf numFmtId="0" fontId="1" fillId="24" borderId="25" xfId="16" applyFill="1" applyBorder="1" applyAlignment="1">
      <alignment horizontal="center" vertical="center"/>
    </xf>
    <xf numFmtId="0" fontId="1" fillId="0" borderId="25" xfId="5" applyBorder="1"/>
    <xf numFmtId="0" fontId="1" fillId="18" borderId="25" xfId="5" applyFill="1" applyBorder="1"/>
    <xf numFmtId="0" fontId="73" fillId="18" borderId="25" xfId="4" applyFont="1" applyFill="1" applyBorder="1" applyAlignment="1">
      <alignment horizontal="center" vertical="center"/>
    </xf>
    <xf numFmtId="0" fontId="73" fillId="18" borderId="85" xfId="4" applyFont="1" applyFill="1" applyBorder="1" applyAlignment="1">
      <alignment horizontal="center" vertical="center"/>
    </xf>
    <xf numFmtId="0" fontId="1" fillId="24" borderId="69" xfId="16" applyFill="1" applyBorder="1" applyAlignment="1">
      <alignment horizontal="center" vertical="center"/>
    </xf>
    <xf numFmtId="0" fontId="137" fillId="55" borderId="25" xfId="16" applyFont="1" applyFill="1" applyBorder="1" applyAlignment="1" applyProtection="1">
      <alignment horizontal="right" vertical="center"/>
      <protection locked="0"/>
    </xf>
    <xf numFmtId="194" fontId="137" fillId="54" borderId="26" xfId="16" applyNumberFormat="1" applyFont="1" applyFill="1" applyBorder="1" applyAlignment="1" applyProtection="1">
      <alignment horizontal="center" vertical="center"/>
      <protection locked="0"/>
    </xf>
    <xf numFmtId="0" fontId="1" fillId="18" borderId="32" xfId="5" applyFill="1" applyBorder="1"/>
    <xf numFmtId="0" fontId="137" fillId="18" borderId="25" xfId="16" applyFont="1" applyFill="1" applyBorder="1" applyAlignment="1" applyProtection="1">
      <alignment horizontal="right" vertical="center"/>
      <protection locked="0"/>
    </xf>
    <xf numFmtId="0" fontId="73" fillId="18" borderId="32" xfId="4" applyFont="1" applyFill="1" applyBorder="1" applyAlignment="1">
      <alignment horizontal="center" vertical="center"/>
    </xf>
    <xf numFmtId="194" fontId="137" fillId="54" borderId="85" xfId="16" applyNumberFormat="1" applyFont="1" applyFill="1" applyBorder="1" applyAlignment="1" applyProtection="1">
      <alignment horizontal="center" vertical="center"/>
      <protection locked="0"/>
    </xf>
    <xf numFmtId="0" fontId="139" fillId="55" borderId="24" xfId="16" applyFont="1" applyFill="1" applyAlignment="1" applyProtection="1">
      <alignment horizontal="right" vertical="center"/>
      <protection locked="0"/>
    </xf>
    <xf numFmtId="194" fontId="139" fillId="54" borderId="28" xfId="16" applyNumberFormat="1" applyFont="1" applyFill="1" applyBorder="1" applyAlignment="1" applyProtection="1">
      <alignment horizontal="center" vertical="center"/>
      <protection locked="0"/>
    </xf>
    <xf numFmtId="0" fontId="1" fillId="18" borderId="27" xfId="5" applyFill="1" applyBorder="1"/>
    <xf numFmtId="0" fontId="139" fillId="18" borderId="24" xfId="16" applyFont="1" applyFill="1" applyAlignment="1" applyProtection="1">
      <alignment horizontal="right" vertical="center"/>
      <protection locked="0"/>
    </xf>
    <xf numFmtId="0" fontId="73" fillId="18" borderId="27" xfId="4" applyFont="1" applyFill="1" applyBorder="1" applyAlignment="1">
      <alignment horizontal="center" vertical="center"/>
    </xf>
    <xf numFmtId="189" fontId="139" fillId="54" borderId="64" xfId="16" applyNumberFormat="1" applyFont="1" applyFill="1" applyBorder="1" applyAlignment="1" applyProtection="1">
      <alignment horizontal="center" vertical="center"/>
      <protection locked="0"/>
    </xf>
    <xf numFmtId="0" fontId="33" fillId="55" borderId="24" xfId="16" applyFont="1" applyFill="1" applyAlignment="1" applyProtection="1">
      <alignment horizontal="right" vertical="center"/>
      <protection locked="0"/>
    </xf>
    <xf numFmtId="194" fontId="33" fillId="55" borderId="28" xfId="16" applyNumberFormat="1" applyFont="1" applyFill="1" applyBorder="1" applyAlignment="1" applyProtection="1">
      <alignment horizontal="center" vertical="center"/>
      <protection locked="0"/>
    </xf>
    <xf numFmtId="194" fontId="33" fillId="55" borderId="64" xfId="16" applyNumberFormat="1" applyFont="1" applyFill="1" applyBorder="1" applyAlignment="1" applyProtection="1">
      <alignment horizontal="center" vertical="center"/>
      <protection locked="0"/>
    </xf>
    <xf numFmtId="0" fontId="1" fillId="18" borderId="30" xfId="5" applyFill="1" applyBorder="1"/>
    <xf numFmtId="0" fontId="33" fillId="55" borderId="30" xfId="16" applyFont="1" applyFill="1" applyBorder="1" applyAlignment="1" applyProtection="1">
      <alignment horizontal="right" vertical="center"/>
      <protection locked="0"/>
    </xf>
    <xf numFmtId="195" fontId="33" fillId="55" borderId="31" xfId="16" applyNumberFormat="1" applyFont="1" applyFill="1" applyBorder="1" applyAlignment="1" applyProtection="1">
      <alignment horizontal="center" vertical="center"/>
      <protection locked="0"/>
    </xf>
    <xf numFmtId="0" fontId="1" fillId="18" borderId="29" xfId="5" applyFill="1" applyBorder="1"/>
    <xf numFmtId="0" fontId="73" fillId="18" borderId="29" xfId="4" applyFont="1" applyFill="1" applyBorder="1" applyAlignment="1">
      <alignment horizontal="center" vertical="center"/>
    </xf>
    <xf numFmtId="196" fontId="33" fillId="55" borderId="79" xfId="16" applyNumberFormat="1" applyFont="1" applyFill="1" applyBorder="1" applyAlignment="1" applyProtection="1">
      <alignment horizontal="center" vertical="center"/>
      <protection locked="0"/>
    </xf>
    <xf numFmtId="0" fontId="65" fillId="55" borderId="25" xfId="16" applyFont="1" applyFill="1" applyBorder="1" applyAlignment="1" applyProtection="1">
      <alignment horizontal="right" vertical="center"/>
      <protection locked="0"/>
    </xf>
    <xf numFmtId="194" fontId="65" fillId="54" borderId="26" xfId="16" applyNumberFormat="1" applyFont="1" applyFill="1" applyBorder="1" applyAlignment="1" applyProtection="1">
      <alignment horizontal="center" vertical="center"/>
      <protection locked="0"/>
    </xf>
    <xf numFmtId="194" fontId="65" fillId="54" borderId="85" xfId="16" applyNumberFormat="1" applyFont="1" applyFill="1" applyBorder="1" applyAlignment="1" applyProtection="1">
      <alignment horizontal="center" vertical="center"/>
      <protection locked="0"/>
    </xf>
    <xf numFmtId="2" fontId="50" fillId="56" borderId="86" xfId="16" applyNumberFormat="1" applyFont="1" applyFill="1" applyBorder="1" applyAlignment="1" applyProtection="1">
      <alignment horizontal="center" vertical="center" wrapText="1"/>
      <protection locked="0"/>
    </xf>
    <xf numFmtId="0" fontId="1" fillId="24" borderId="24" xfId="16" applyFill="1"/>
    <xf numFmtId="197" fontId="44" fillId="24" borderId="87" xfId="16" applyNumberFormat="1" applyFont="1" applyFill="1" applyBorder="1" applyAlignment="1">
      <alignment horizontal="center" vertical="center"/>
    </xf>
    <xf numFmtId="0" fontId="72" fillId="24" borderId="88" xfId="16" applyFont="1" applyFill="1" applyBorder="1" applyAlignment="1">
      <alignment horizontal="center" vertical="center"/>
    </xf>
    <xf numFmtId="2" fontId="44" fillId="24" borderId="89" xfId="16" applyNumberFormat="1" applyFont="1" applyFill="1" applyBorder="1" applyAlignment="1">
      <alignment horizontal="center" vertical="center"/>
    </xf>
    <xf numFmtId="0" fontId="68" fillId="55" borderId="24" xfId="16" applyFont="1" applyFill="1" applyAlignment="1" applyProtection="1">
      <alignment horizontal="right" vertical="center"/>
      <protection locked="0"/>
    </xf>
    <xf numFmtId="194" fontId="68" fillId="54" borderId="28" xfId="16" applyNumberFormat="1" applyFont="1" applyFill="1" applyBorder="1" applyAlignment="1" applyProtection="1">
      <alignment horizontal="center" vertical="center"/>
      <protection locked="0"/>
    </xf>
    <xf numFmtId="189" fontId="68" fillId="54" borderId="64" xfId="16" applyNumberFormat="1" applyFont="1" applyFill="1" applyBorder="1" applyAlignment="1" applyProtection="1">
      <alignment horizontal="center" vertical="center"/>
      <protection locked="0"/>
    </xf>
    <xf numFmtId="9" fontId="44" fillId="57" borderId="90" xfId="16" applyNumberFormat="1" applyFont="1" applyFill="1" applyBorder="1" applyAlignment="1">
      <alignment horizontal="center" vertical="center"/>
    </xf>
    <xf numFmtId="0" fontId="37" fillId="24" borderId="24" xfId="15" applyFont="1" applyFill="1" applyAlignment="1">
      <alignment horizontal="centerContinuous" vertical="center"/>
    </xf>
    <xf numFmtId="0" fontId="1" fillId="57" borderId="24" xfId="16" applyFill="1" applyAlignment="1">
      <alignment horizontal="centerContinuous" vertical="center" wrapText="1"/>
    </xf>
    <xf numFmtId="0" fontId="44" fillId="57" borderId="24" xfId="15" applyFont="1" applyFill="1" applyAlignment="1">
      <alignment horizontal="right" vertical="center"/>
    </xf>
    <xf numFmtId="166" fontId="129" fillId="35" borderId="91" xfId="15" applyNumberFormat="1" applyFont="1" applyFill="1" applyBorder="1" applyAlignment="1">
      <alignment horizontal="center" vertical="center"/>
    </xf>
    <xf numFmtId="9" fontId="140" fillId="57" borderId="90" xfId="16" applyNumberFormat="1" applyFont="1" applyFill="1" applyBorder="1" applyAlignment="1">
      <alignment horizontal="center" vertical="center"/>
    </xf>
    <xf numFmtId="173" fontId="72" fillId="58" borderId="64" xfId="16" applyNumberFormat="1" applyFont="1" applyFill="1" applyBorder="1" applyAlignment="1">
      <alignment horizontal="centerContinuous" vertical="center" wrapText="1"/>
    </xf>
    <xf numFmtId="195" fontId="131" fillId="54" borderId="90" xfId="16" applyNumberFormat="1" applyFont="1" applyFill="1" applyBorder="1" applyAlignment="1">
      <alignment horizontal="center" vertical="center"/>
    </xf>
    <xf numFmtId="0" fontId="139" fillId="54" borderId="24" xfId="15" applyFont="1" applyFill="1" applyAlignment="1">
      <alignment horizontal="left" vertical="center"/>
    </xf>
    <xf numFmtId="188" fontId="37" fillId="24" borderId="92" xfId="16" applyNumberFormat="1" applyFont="1" applyFill="1" applyBorder="1" applyAlignment="1" applyProtection="1">
      <alignment horizontal="center" vertical="center"/>
      <protection locked="0"/>
    </xf>
    <xf numFmtId="189" fontId="126" fillId="35" borderId="24" xfId="16" applyNumberFormat="1" applyFont="1" applyFill="1" applyAlignment="1" applyProtection="1">
      <alignment horizontal="center" vertical="center"/>
      <protection locked="0"/>
    </xf>
    <xf numFmtId="188" fontId="37" fillId="24" borderId="64" xfId="16" applyNumberFormat="1" applyFont="1" applyFill="1" applyBorder="1" applyAlignment="1" applyProtection="1">
      <alignment horizontal="center" vertical="center"/>
      <protection locked="0"/>
    </xf>
    <xf numFmtId="194" fontId="33" fillId="55" borderId="79" xfId="16" applyNumberFormat="1" applyFont="1" applyFill="1" applyBorder="1" applyAlignment="1" applyProtection="1">
      <alignment horizontal="center" vertical="center"/>
      <protection locked="0"/>
    </xf>
    <xf numFmtId="188" fontId="37" fillId="24" borderId="24" xfId="16" applyNumberFormat="1" applyFont="1" applyFill="1" applyAlignment="1" applyProtection="1">
      <alignment horizontal="center" vertical="center"/>
      <protection locked="0"/>
    </xf>
    <xf numFmtId="189" fontId="126" fillId="54" borderId="24" xfId="16" applyNumberFormat="1" applyFont="1" applyFill="1" applyAlignment="1" applyProtection="1">
      <alignment horizontal="center" vertical="center"/>
      <protection locked="0"/>
    </xf>
    <xf numFmtId="0" fontId="56" fillId="18" borderId="69" xfId="8" applyFill="1" applyBorder="1" applyAlignment="1">
      <alignment vertical="center"/>
    </xf>
    <xf numFmtId="0" fontId="113" fillId="18" borderId="69" xfId="7" applyFont="1" applyFill="1" applyBorder="1" applyAlignment="1">
      <alignment horizontal="center" vertical="center"/>
    </xf>
    <xf numFmtId="0" fontId="1" fillId="0" borderId="69" xfId="5" applyBorder="1"/>
    <xf numFmtId="0" fontId="1" fillId="0" borderId="70" xfId="5" applyBorder="1"/>
    <xf numFmtId="0" fontId="50" fillId="18" borderId="69" xfId="4" applyFont="1" applyFill="1" applyBorder="1" applyAlignment="1" applyProtection="1">
      <alignment horizontal="center" vertical="center"/>
      <protection hidden="1"/>
    </xf>
    <xf numFmtId="0" fontId="31" fillId="18" borderId="69" xfId="16" applyFont="1" applyFill="1" applyBorder="1" applyAlignment="1">
      <alignment horizontal="center"/>
    </xf>
    <xf numFmtId="0" fontId="31" fillId="18" borderId="24" xfId="16" applyFont="1" applyFill="1" applyAlignment="1">
      <alignment horizontal="left"/>
    </xf>
    <xf numFmtId="198" fontId="92" fillId="18" borderId="24" xfId="4" applyNumberFormat="1" applyFont="1" applyFill="1" applyAlignment="1" applyProtection="1">
      <alignment horizontal="center" vertical="center"/>
      <protection hidden="1"/>
    </xf>
    <xf numFmtId="169" fontId="108" fillId="18" borderId="24" xfId="4" applyNumberFormat="1" applyFont="1" applyFill="1" applyAlignment="1" applyProtection="1">
      <alignment horizontal="center" vertical="center"/>
      <protection hidden="1"/>
    </xf>
    <xf numFmtId="166" fontId="50" fillId="29" borderId="64" xfId="7" applyNumberFormat="1" applyFont="1" applyFill="1" applyBorder="1" applyAlignment="1">
      <alignment horizontal="center" vertical="center"/>
    </xf>
    <xf numFmtId="195" fontId="131" fillId="54" borderId="93" xfId="16" applyNumberFormat="1" applyFont="1" applyFill="1" applyBorder="1" applyAlignment="1">
      <alignment horizontal="center" vertical="center"/>
    </xf>
    <xf numFmtId="0" fontId="139" fillId="54" borderId="30" xfId="15" applyFont="1" applyFill="1" applyBorder="1" applyAlignment="1">
      <alignment horizontal="left" vertical="center"/>
    </xf>
    <xf numFmtId="188" fontId="37" fillId="24" borderId="30" xfId="16" applyNumberFormat="1" applyFont="1" applyFill="1" applyBorder="1" applyAlignment="1" applyProtection="1">
      <alignment horizontal="center" vertical="center"/>
      <protection locked="0"/>
    </xf>
    <xf numFmtId="189" fontId="126" fillId="54" borderId="30" xfId="16" applyNumberFormat="1" applyFont="1" applyFill="1" applyBorder="1" applyAlignment="1" applyProtection="1">
      <alignment horizontal="center" vertical="center"/>
      <protection locked="0"/>
    </xf>
    <xf numFmtId="188" fontId="37" fillId="24" borderId="79" xfId="16" applyNumberFormat="1" applyFont="1" applyFill="1" applyBorder="1" applyAlignment="1" applyProtection="1">
      <alignment horizontal="center" vertical="center"/>
      <protection locked="0"/>
    </xf>
    <xf numFmtId="0" fontId="33" fillId="18" borderId="24" xfId="4" applyFont="1" applyFill="1" applyAlignment="1">
      <alignment horizontal="left" vertical="center"/>
    </xf>
    <xf numFmtId="0" fontId="1" fillId="18" borderId="24" xfId="16" applyFill="1"/>
    <xf numFmtId="0" fontId="30" fillId="18" borderId="24" xfId="16" applyFont="1" applyFill="1"/>
    <xf numFmtId="0" fontId="141" fillId="18" borderId="24" xfId="4" applyFont="1" applyFill="1" applyAlignment="1">
      <alignment horizontal="center" vertical="center" wrapText="1"/>
    </xf>
    <xf numFmtId="0" fontId="141" fillId="18" borderId="64" xfId="4" applyFont="1" applyFill="1" applyBorder="1" applyAlignment="1">
      <alignment horizontal="center" vertical="center" wrapText="1"/>
    </xf>
    <xf numFmtId="0" fontId="73" fillId="21" borderId="28" xfId="4" applyFont="1" applyFill="1" applyBorder="1" applyAlignment="1">
      <alignment horizontal="center" vertical="center"/>
    </xf>
    <xf numFmtId="0" fontId="73" fillId="24" borderId="94" xfId="4" applyFont="1" applyFill="1" applyBorder="1" applyAlignment="1">
      <alignment horizontal="center" vertical="center"/>
    </xf>
    <xf numFmtId="0" fontId="37" fillId="59" borderId="28" xfId="4" applyFont="1" applyFill="1" applyBorder="1" applyAlignment="1" applyProtection="1">
      <alignment horizontal="center" vertical="center"/>
      <protection locked="0"/>
    </xf>
    <xf numFmtId="0" fontId="29" fillId="19" borderId="31" xfId="4" applyFont="1" applyFill="1" applyBorder="1" applyAlignment="1">
      <alignment horizontal="center" vertical="center"/>
    </xf>
    <xf numFmtId="0" fontId="117" fillId="60" borderId="24" xfId="4" applyFont="1" applyFill="1" applyAlignment="1" applyProtection="1">
      <alignment horizontal="left" vertical="center"/>
      <protection hidden="1"/>
    </xf>
    <xf numFmtId="0" fontId="63" fillId="60" borderId="24" xfId="4" applyFont="1" applyFill="1" applyAlignment="1" applyProtection="1">
      <alignment vertical="center"/>
      <protection hidden="1"/>
    </xf>
    <xf numFmtId="0" fontId="117" fillId="60" borderId="24" xfId="9" applyFont="1" applyFill="1" applyAlignment="1">
      <alignment horizontal="left" vertical="center"/>
    </xf>
    <xf numFmtId="0" fontId="24" fillId="9" borderId="6" xfId="0" applyFont="1" applyFill="1" applyBorder="1" applyAlignment="1">
      <alignment horizontal="left" vertical="center" wrapText="1"/>
    </xf>
    <xf numFmtId="0" fontId="143" fillId="5" borderId="8" xfId="0" applyFont="1" applyFill="1" applyBorder="1" applyAlignment="1">
      <alignment horizontal="center" vertical="center"/>
    </xf>
    <xf numFmtId="0" fontId="28" fillId="0" borderId="0" xfId="0" applyFont="1"/>
    <xf numFmtId="0" fontId="63" fillId="62" borderId="51" xfId="3" applyFont="1" applyFill="1" applyBorder="1" applyAlignment="1">
      <alignment vertical="center"/>
    </xf>
    <xf numFmtId="0" fontId="117" fillId="62" borderId="47" xfId="3" applyFont="1" applyFill="1" applyBorder="1" applyAlignment="1">
      <alignment vertical="center"/>
    </xf>
    <xf numFmtId="0" fontId="117" fillId="62" borderId="52" xfId="3" applyFont="1" applyFill="1" applyBorder="1" applyAlignment="1">
      <alignment vertical="center"/>
    </xf>
    <xf numFmtId="0" fontId="33" fillId="18" borderId="24" xfId="7" applyFont="1" applyFill="1" applyAlignment="1" applyProtection="1">
      <alignment vertical="center"/>
      <protection locked="0"/>
    </xf>
    <xf numFmtId="0" fontId="20" fillId="9" borderId="3" xfId="0" applyFont="1" applyFill="1" applyBorder="1" applyAlignment="1">
      <alignment vertical="center"/>
    </xf>
    <xf numFmtId="0" fontId="20" fillId="9" borderId="3" xfId="0" applyFont="1" applyFill="1" applyBorder="1" applyAlignment="1">
      <alignment horizontal="right" vertical="center"/>
    </xf>
    <xf numFmtId="0" fontId="145" fillId="63" borderId="24" xfId="17" applyFont="1" applyFill="1" applyAlignment="1">
      <alignment horizontal="center" vertical="center" wrapText="1"/>
    </xf>
    <xf numFmtId="0" fontId="146" fillId="0" borderId="24" xfId="17" applyFont="1" applyAlignment="1">
      <alignment vertical="center" wrapText="1"/>
    </xf>
    <xf numFmtId="0" fontId="146" fillId="0" borderId="24" xfId="17" applyFont="1" applyAlignment="1">
      <alignment vertical="center"/>
    </xf>
    <xf numFmtId="0" fontId="148" fillId="21" borderId="1" xfId="1" applyFont="1" applyFill="1" applyAlignment="1">
      <alignment horizontal="center" vertical="center"/>
    </xf>
    <xf numFmtId="0" fontId="149" fillId="18" borderId="24" xfId="17" applyFont="1" applyFill="1" applyAlignment="1">
      <alignment vertical="center"/>
    </xf>
    <xf numFmtId="0" fontId="150" fillId="0" borderId="24" xfId="17" applyFont="1" applyAlignment="1">
      <alignment vertical="center"/>
    </xf>
    <xf numFmtId="0" fontId="11" fillId="18" borderId="24" xfId="0" applyFont="1" applyFill="1" applyBorder="1" applyAlignment="1">
      <alignment horizontal="left" vertical="center" wrapText="1"/>
    </xf>
    <xf numFmtId="0" fontId="25" fillId="15" borderId="24" xfId="0" applyFont="1" applyFill="1" applyBorder="1"/>
    <xf numFmtId="0" fontId="24" fillId="65" borderId="27" xfId="0" applyFont="1" applyFill="1" applyBorder="1" applyAlignment="1">
      <alignment horizontal="right" vertical="center" wrapText="1"/>
    </xf>
    <xf numFmtId="0" fontId="21" fillId="64" borderId="24" xfId="18" applyFont="1" applyFill="1" applyAlignment="1">
      <alignment horizontal="right" vertical="center" wrapText="1"/>
    </xf>
    <xf numFmtId="0" fontId="21" fillId="65" borderId="27" xfId="0" applyFont="1" applyFill="1" applyBorder="1" applyAlignment="1">
      <alignment vertical="center"/>
    </xf>
    <xf numFmtId="0" fontId="23" fillId="65" borderId="24" xfId="0" applyFont="1" applyFill="1" applyBorder="1" applyAlignment="1">
      <alignment vertical="center"/>
    </xf>
    <xf numFmtId="0" fontId="23" fillId="65" borderId="28" xfId="0" applyFont="1" applyFill="1" applyBorder="1" applyAlignment="1">
      <alignment vertical="center"/>
    </xf>
    <xf numFmtId="0" fontId="25" fillId="6" borderId="27" xfId="0" applyFont="1" applyFill="1" applyBorder="1" applyAlignment="1">
      <alignment vertical="center"/>
    </xf>
    <xf numFmtId="0" fontId="27" fillId="5" borderId="100" xfId="0" applyFont="1" applyFill="1" applyBorder="1" applyAlignment="1">
      <alignment horizontal="center" vertical="center"/>
    </xf>
    <xf numFmtId="0" fontId="8" fillId="5" borderId="101" xfId="0" applyFont="1" applyFill="1" applyBorder="1" applyAlignment="1">
      <alignment horizontal="center" vertical="center"/>
    </xf>
    <xf numFmtId="0" fontId="21" fillId="62" borderId="0" xfId="0" applyFont="1" applyFill="1" applyAlignment="1">
      <alignment vertical="center"/>
    </xf>
    <xf numFmtId="0" fontId="23" fillId="62" borderId="24" xfId="0" applyFont="1" applyFill="1" applyBorder="1" applyAlignment="1">
      <alignment vertical="center"/>
    </xf>
    <xf numFmtId="0" fontId="28" fillId="0" borderId="24" xfId="19" applyAlignment="1">
      <alignment vertical="center"/>
    </xf>
    <xf numFmtId="0" fontId="6" fillId="69" borderId="24" xfId="19" applyFont="1" applyFill="1" applyAlignment="1">
      <alignment vertical="center"/>
    </xf>
    <xf numFmtId="0" fontId="152" fillId="69" borderId="24" xfId="19" applyFont="1" applyFill="1" applyAlignment="1">
      <alignment horizontal="center" vertical="center" wrapText="1"/>
    </xf>
    <xf numFmtId="0" fontId="153" fillId="0" borderId="24" xfId="19" applyFont="1" applyAlignment="1">
      <alignment vertical="center" wrapText="1"/>
    </xf>
    <xf numFmtId="0" fontId="153" fillId="0" borderId="102" xfId="19" applyFont="1" applyBorder="1" applyAlignment="1">
      <alignment vertical="center" wrapText="1"/>
    </xf>
    <xf numFmtId="0" fontId="3" fillId="0" borderId="24" xfId="19" applyFont="1" applyAlignment="1">
      <alignment horizontal="center" vertical="center" wrapText="1"/>
    </xf>
    <xf numFmtId="0" fontId="3" fillId="6" borderId="24" xfId="20" applyFont="1" applyFill="1" applyAlignment="1">
      <alignment horizontal="left" vertical="center"/>
    </xf>
    <xf numFmtId="0" fontId="155" fillId="0" borderId="24" xfId="19" applyFont="1" applyAlignment="1">
      <alignment vertical="center" wrapText="1"/>
    </xf>
    <xf numFmtId="0" fontId="155" fillId="0" borderId="24" xfId="19" applyFont="1" applyAlignment="1">
      <alignment horizontal="left" vertical="center" wrapText="1"/>
    </xf>
    <xf numFmtId="0" fontId="155" fillId="0" borderId="24" xfId="19" applyFont="1" applyAlignment="1">
      <alignment horizontal="left" vertical="center"/>
    </xf>
    <xf numFmtId="0" fontId="156" fillId="0" borderId="24" xfId="19" applyFont="1" applyAlignment="1">
      <alignment horizontal="left" vertical="center" wrapText="1"/>
    </xf>
    <xf numFmtId="0" fontId="11" fillId="0" borderId="24" xfId="19" applyFont="1" applyAlignment="1">
      <alignment horizontal="left" vertical="center"/>
    </xf>
    <xf numFmtId="0" fontId="152" fillId="73" borderId="24" xfId="19" applyFont="1" applyFill="1" applyAlignment="1">
      <alignment horizontal="center" vertical="center" wrapText="1"/>
    </xf>
    <xf numFmtId="0" fontId="21" fillId="74" borderId="24" xfId="19" applyFont="1" applyFill="1" applyAlignment="1">
      <alignment horizontal="center" vertical="center" wrapText="1"/>
    </xf>
    <xf numFmtId="0" fontId="154" fillId="64" borderId="24" xfId="19" applyFont="1" applyFill="1" applyAlignment="1">
      <alignment horizontal="center" vertical="center" wrapText="1"/>
    </xf>
    <xf numFmtId="0" fontId="158" fillId="75" borderId="24" xfId="19" applyFont="1" applyFill="1" applyAlignment="1">
      <alignment horizontal="center" vertical="center" wrapText="1"/>
    </xf>
    <xf numFmtId="0" fontId="3" fillId="67" borderId="103" xfId="19" applyFont="1" applyFill="1" applyBorder="1" applyAlignment="1">
      <alignment horizontal="center" vertical="center" wrapText="1"/>
    </xf>
    <xf numFmtId="0" fontId="3" fillId="4" borderId="104" xfId="19" applyFont="1" applyFill="1" applyBorder="1" applyAlignment="1">
      <alignment horizontal="left" vertical="center" wrapText="1"/>
    </xf>
    <xf numFmtId="0" fontId="3" fillId="11" borderId="104" xfId="19" applyFont="1" applyFill="1" applyBorder="1" applyAlignment="1">
      <alignment vertical="center" wrapText="1"/>
    </xf>
    <xf numFmtId="0" fontId="3" fillId="76" borderId="104" xfId="19" applyFont="1" applyFill="1" applyBorder="1" applyAlignment="1">
      <alignment vertical="center" wrapText="1"/>
    </xf>
    <xf numFmtId="0" fontId="3" fillId="4" borderId="104" xfId="19" applyFont="1" applyFill="1" applyBorder="1" applyAlignment="1">
      <alignment horizontal="center" vertical="center" wrapText="1"/>
    </xf>
    <xf numFmtId="0" fontId="3" fillId="76" borderId="105" xfId="19" applyFont="1" applyFill="1" applyBorder="1" applyAlignment="1">
      <alignment horizontal="center" vertical="center" wrapText="1"/>
    </xf>
    <xf numFmtId="0" fontId="3" fillId="67" borderId="106" xfId="19" applyFont="1" applyFill="1" applyBorder="1" applyAlignment="1">
      <alignment horizontal="center" vertical="center" wrapText="1"/>
    </xf>
    <xf numFmtId="0" fontId="3" fillId="4" borderId="107" xfId="19" applyFont="1" applyFill="1" applyBorder="1" applyAlignment="1">
      <alignment horizontal="left" vertical="center" wrapText="1"/>
    </xf>
    <xf numFmtId="0" fontId="3" fillId="11" borderId="107" xfId="19" applyFont="1" applyFill="1" applyBorder="1" applyAlignment="1">
      <alignment vertical="center" wrapText="1"/>
    </xf>
    <xf numFmtId="0" fontId="3" fillId="76" borderId="107" xfId="19" applyFont="1" applyFill="1" applyBorder="1" applyAlignment="1">
      <alignment vertical="center" wrapText="1"/>
    </xf>
    <xf numFmtId="0" fontId="3" fillId="4" borderId="107" xfId="19" applyFont="1" applyFill="1" applyBorder="1" applyAlignment="1">
      <alignment horizontal="center" vertical="center" wrapText="1"/>
    </xf>
    <xf numFmtId="0" fontId="3" fillId="76" borderId="108" xfId="19" applyFont="1" applyFill="1" applyBorder="1" applyAlignment="1">
      <alignment horizontal="center" vertical="center" wrapText="1"/>
    </xf>
    <xf numFmtId="0" fontId="3" fillId="0" borderId="24" xfId="19" applyFont="1" applyAlignment="1">
      <alignment horizontal="left" vertical="center" wrapText="1"/>
    </xf>
    <xf numFmtId="0" fontId="3" fillId="0" borderId="24" xfId="19" applyFont="1" applyAlignment="1">
      <alignment vertical="center" wrapText="1"/>
    </xf>
    <xf numFmtId="0" fontId="152" fillId="77" borderId="109" xfId="19" applyFont="1" applyFill="1" applyBorder="1" applyAlignment="1">
      <alignment horizontal="center" vertical="center" wrapText="1"/>
    </xf>
    <xf numFmtId="0" fontId="152" fillId="77" borderId="110" xfId="19" applyFont="1" applyFill="1" applyBorder="1" applyAlignment="1">
      <alignment horizontal="left" vertical="center" wrapText="1"/>
    </xf>
    <xf numFmtId="0" fontId="152" fillId="77" borderId="110" xfId="19" applyFont="1" applyFill="1" applyBorder="1" applyAlignment="1">
      <alignment vertical="center" wrapText="1"/>
    </xf>
    <xf numFmtId="0" fontId="152" fillId="77" borderId="111" xfId="19" applyFont="1" applyFill="1" applyBorder="1" applyAlignment="1">
      <alignment vertical="center" wrapText="1"/>
    </xf>
    <xf numFmtId="0" fontId="3" fillId="0" borderId="112" xfId="19" applyFont="1" applyBorder="1" applyAlignment="1">
      <alignment horizontal="center" vertical="center" wrapText="1"/>
    </xf>
    <xf numFmtId="0" fontId="3" fillId="0" borderId="113" xfId="19" applyFont="1" applyBorder="1" applyAlignment="1">
      <alignment horizontal="left" vertical="center" wrapText="1"/>
    </xf>
    <xf numFmtId="0" fontId="3" fillId="0" borderId="113" xfId="19" applyFont="1" applyBorder="1" applyAlignment="1">
      <alignment vertical="center" wrapText="1"/>
    </xf>
    <xf numFmtId="0" fontId="3" fillId="0" borderId="114" xfId="19" applyFont="1" applyBorder="1" applyAlignment="1">
      <alignment vertical="center" wrapText="1"/>
    </xf>
    <xf numFmtId="0" fontId="3" fillId="0" borderId="115" xfId="19" applyFont="1" applyBorder="1" applyAlignment="1">
      <alignment horizontal="center" vertical="center" wrapText="1"/>
    </xf>
    <xf numFmtId="0" fontId="3" fillId="0" borderId="116" xfId="19" applyFont="1" applyBorder="1" applyAlignment="1">
      <alignment horizontal="left" vertical="center" wrapText="1"/>
    </xf>
    <xf numFmtId="0" fontId="3" fillId="0" borderId="116" xfId="19" applyFont="1" applyBorder="1" applyAlignment="1">
      <alignment vertical="center" wrapText="1"/>
    </xf>
    <xf numFmtId="0" fontId="3" fillId="0" borderId="117" xfId="19" applyFont="1" applyBorder="1" applyAlignment="1">
      <alignment vertical="center" wrapText="1"/>
    </xf>
    <xf numFmtId="0" fontId="11" fillId="0" borderId="24" xfId="17" applyFont="1" applyAlignment="1">
      <alignment horizontal="left" vertical="center" wrapText="1"/>
    </xf>
    <xf numFmtId="0" fontId="11" fillId="0" borderId="24" xfId="17" applyFont="1" applyAlignment="1">
      <alignment vertical="center" wrapText="1"/>
    </xf>
    <xf numFmtId="0" fontId="11" fillId="0" borderId="24" xfId="17" applyFont="1" applyAlignment="1">
      <alignment horizontal="right" vertical="center" wrapText="1"/>
    </xf>
    <xf numFmtId="0" fontId="3" fillId="0" borderId="24" xfId="17" applyFont="1" applyAlignment="1">
      <alignment vertical="center"/>
    </xf>
    <xf numFmtId="0" fontId="3" fillId="0" borderId="24" xfId="17" applyFont="1" applyAlignment="1">
      <alignment horizontal="right" vertical="center" wrapText="1"/>
    </xf>
    <xf numFmtId="0" fontId="3" fillId="0" borderId="24" xfId="17" applyFont="1" applyAlignment="1">
      <alignment vertical="center" wrapText="1"/>
    </xf>
    <xf numFmtId="0" fontId="11" fillId="0" borderId="24" xfId="17" applyFont="1" applyAlignment="1">
      <alignment horizontal="left" vertical="center"/>
    </xf>
    <xf numFmtId="0" fontId="150" fillId="0" borderId="24" xfId="17" applyFont="1" applyAlignment="1">
      <alignment horizontal="right" vertical="center" wrapText="1"/>
    </xf>
    <xf numFmtId="0" fontId="3" fillId="0" borderId="24" xfId="17" applyFont="1" applyAlignment="1">
      <alignment horizontal="left" vertical="center" wrapText="1"/>
    </xf>
    <xf numFmtId="0" fontId="28" fillId="0" borderId="24" xfId="19" applyAlignment="1">
      <alignment horizontal="left" vertical="center"/>
    </xf>
    <xf numFmtId="0" fontId="153" fillId="0" borderId="118" xfId="19" applyFont="1" applyBorder="1" applyAlignment="1">
      <alignment vertical="center" wrapText="1"/>
    </xf>
    <xf numFmtId="0" fontId="153" fillId="0" borderId="119" xfId="19" applyFont="1" applyBorder="1" applyAlignment="1">
      <alignment vertical="center" wrapText="1"/>
    </xf>
    <xf numFmtId="0" fontId="6" fillId="0" borderId="24" xfId="19" applyFont="1" applyAlignment="1">
      <alignment vertical="center"/>
    </xf>
    <xf numFmtId="0" fontId="114" fillId="61" borderId="48" xfId="3" applyFont="1" applyFill="1" applyBorder="1" applyAlignment="1">
      <alignment horizontal="center" vertical="center"/>
    </xf>
    <xf numFmtId="0" fontId="114" fillId="61" borderId="49" xfId="3" applyFont="1" applyFill="1" applyBorder="1" applyAlignment="1">
      <alignment horizontal="center" vertical="center"/>
    </xf>
    <xf numFmtId="0" fontId="114" fillId="61" borderId="50" xfId="3" applyFont="1" applyFill="1" applyBorder="1" applyAlignment="1">
      <alignment horizontal="center" vertical="center"/>
    </xf>
    <xf numFmtId="0" fontId="20" fillId="9" borderId="2" xfId="0" applyFont="1" applyFill="1" applyBorder="1" applyAlignment="1">
      <alignment horizontal="right" vertical="center" wrapText="1"/>
    </xf>
    <xf numFmtId="0" fontId="20" fillId="9" borderId="3" xfId="0" applyFont="1" applyFill="1" applyBorder="1" applyAlignment="1">
      <alignment horizontal="right" vertical="center" wrapText="1"/>
    </xf>
    <xf numFmtId="0" fontId="11" fillId="18" borderId="24" xfId="0" applyFont="1" applyFill="1" applyBorder="1" applyAlignment="1">
      <alignment horizontal="left" vertical="center" wrapText="1"/>
    </xf>
    <xf numFmtId="0" fontId="11" fillId="18" borderId="28" xfId="0" applyFont="1" applyFill="1" applyBorder="1" applyAlignment="1">
      <alignment horizontal="left" vertical="center" wrapText="1"/>
    </xf>
    <xf numFmtId="0" fontId="6" fillId="14" borderId="27" xfId="0" applyFont="1" applyFill="1" applyBorder="1" applyAlignment="1">
      <alignment horizontal="left" vertical="top" wrapText="1"/>
    </xf>
    <xf numFmtId="0" fontId="6" fillId="14" borderId="24" xfId="0" applyFont="1" applyFill="1" applyBorder="1" applyAlignment="1">
      <alignment horizontal="left" vertical="top" wrapText="1"/>
    </xf>
    <xf numFmtId="0" fontId="6" fillId="14" borderId="28" xfId="0" applyFont="1" applyFill="1" applyBorder="1" applyAlignment="1">
      <alignment horizontal="left" vertical="top"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4" fillId="65" borderId="27" xfId="0" applyFont="1" applyFill="1" applyBorder="1" applyAlignment="1">
      <alignment horizontal="center" vertical="center" wrapText="1"/>
    </xf>
    <xf numFmtId="0" fontId="26" fillId="18" borderId="24" xfId="0" applyFont="1" applyFill="1" applyBorder="1" applyAlignment="1">
      <alignment horizontal="left" vertical="top" wrapText="1"/>
    </xf>
    <xf numFmtId="0" fontId="26" fillId="18" borderId="28" xfId="0" applyFont="1" applyFill="1" applyBorder="1" applyAlignment="1">
      <alignment horizontal="left" vertical="top" wrapText="1"/>
    </xf>
    <xf numFmtId="0" fontId="6" fillId="6" borderId="27" xfId="0" applyFont="1" applyFill="1" applyBorder="1" applyAlignment="1">
      <alignment horizontal="left" vertical="top" wrapText="1"/>
    </xf>
    <xf numFmtId="0" fontId="6" fillId="6" borderId="24" xfId="0" applyFont="1" applyFill="1" applyBorder="1" applyAlignment="1">
      <alignment horizontal="left" vertical="top" wrapText="1"/>
    </xf>
    <xf numFmtId="0" fontId="6" fillId="6" borderId="28" xfId="0" applyFont="1" applyFill="1" applyBorder="1" applyAlignment="1">
      <alignment horizontal="left" vertical="top" wrapText="1"/>
    </xf>
    <xf numFmtId="0" fontId="5" fillId="4" borderId="12"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12" fillId="66" borderId="95" xfId="0" applyFont="1" applyFill="1" applyBorder="1" applyAlignment="1">
      <alignment horizontal="left" vertical="top" wrapText="1"/>
    </xf>
    <xf numFmtId="0" fontId="12" fillId="66" borderId="24" xfId="0" applyFont="1" applyFill="1" applyBorder="1" applyAlignment="1">
      <alignment horizontal="left" vertical="top" wrapText="1"/>
    </xf>
    <xf numFmtId="0" fontId="12" fillId="66" borderId="96" xfId="0" applyFont="1" applyFill="1" applyBorder="1" applyAlignment="1">
      <alignment horizontal="left" vertical="top" wrapText="1"/>
    </xf>
    <xf numFmtId="0" fontId="12" fillId="66" borderId="97" xfId="0" applyFont="1" applyFill="1" applyBorder="1" applyAlignment="1">
      <alignment horizontal="left" vertical="top" wrapText="1"/>
    </xf>
    <xf numFmtId="0" fontId="12" fillId="66" borderId="98" xfId="0" applyFont="1" applyFill="1" applyBorder="1" applyAlignment="1">
      <alignment horizontal="left" vertical="top" wrapText="1"/>
    </xf>
    <xf numFmtId="0" fontId="12" fillId="66" borderId="99" xfId="0" applyFont="1" applyFill="1" applyBorder="1" applyAlignment="1">
      <alignment horizontal="left" vertical="top" wrapText="1"/>
    </xf>
    <xf numFmtId="0" fontId="7" fillId="0" borderId="18" xfId="0" applyFont="1" applyBorder="1" applyAlignment="1">
      <alignment horizontal="left" vertical="top" wrapText="1"/>
    </xf>
    <xf numFmtId="0" fontId="7" fillId="0" borderId="17" xfId="0" applyFont="1" applyBorder="1" applyAlignment="1">
      <alignment horizontal="left" vertical="top" wrapText="1"/>
    </xf>
    <xf numFmtId="0" fontId="6" fillId="15" borderId="24"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30" xfId="0" applyFont="1" applyFill="1" applyBorder="1" applyAlignment="1">
      <alignment horizontal="left" vertical="top" wrapText="1"/>
    </xf>
    <xf numFmtId="0" fontId="6" fillId="15" borderId="31" xfId="0" applyFont="1" applyFill="1" applyBorder="1" applyAlignment="1">
      <alignment horizontal="left" vertical="top" wrapText="1"/>
    </xf>
    <xf numFmtId="0" fontId="4" fillId="4" borderId="10"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1"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11"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11" xfId="0" applyFont="1" applyFill="1" applyBorder="1" applyAlignment="1">
      <alignment horizontal="left" vertical="center" wrapText="1"/>
    </xf>
    <xf numFmtId="0" fontId="17" fillId="6" borderId="32" xfId="0" applyFont="1" applyFill="1" applyBorder="1" applyAlignment="1">
      <alignment horizontal="left" vertical="center"/>
    </xf>
    <xf numFmtId="0" fontId="17" fillId="6" borderId="25" xfId="0" applyFont="1" applyFill="1" applyBorder="1" applyAlignment="1">
      <alignment horizontal="left" vertical="center"/>
    </xf>
    <xf numFmtId="0" fontId="17" fillId="6" borderId="26" xfId="0" applyFont="1" applyFill="1" applyBorder="1" applyAlignment="1">
      <alignment horizontal="left" vertical="center"/>
    </xf>
    <xf numFmtId="0" fontId="17" fillId="6" borderId="27" xfId="0" applyFont="1" applyFill="1" applyBorder="1" applyAlignment="1">
      <alignment horizontal="left" vertical="center"/>
    </xf>
    <xf numFmtId="0" fontId="17" fillId="6" borderId="0" xfId="0" applyFont="1" applyFill="1" applyAlignment="1">
      <alignment horizontal="left" vertical="center"/>
    </xf>
    <xf numFmtId="0" fontId="17" fillId="6" borderId="28" xfId="0" applyFont="1" applyFill="1" applyBorder="1" applyAlignment="1">
      <alignment horizontal="left" vertical="center"/>
    </xf>
    <xf numFmtId="0" fontId="17" fillId="6" borderId="29" xfId="0" applyFont="1" applyFill="1" applyBorder="1" applyAlignment="1">
      <alignment horizontal="left" vertical="center"/>
    </xf>
    <xf numFmtId="0" fontId="17" fillId="6" borderId="30" xfId="0" applyFont="1" applyFill="1" applyBorder="1" applyAlignment="1">
      <alignment horizontal="left" vertical="center"/>
    </xf>
    <xf numFmtId="0" fontId="17" fillId="6" borderId="31" xfId="0" applyFont="1" applyFill="1" applyBorder="1" applyAlignment="1">
      <alignment horizontal="left" vertical="center"/>
    </xf>
    <xf numFmtId="0" fontId="12" fillId="6" borderId="33" xfId="0" applyFont="1" applyFill="1" applyBorder="1" applyAlignment="1">
      <alignment horizontal="left" vertical="top" wrapText="1"/>
    </xf>
    <xf numFmtId="0" fontId="12" fillId="6" borderId="34" xfId="0" applyFont="1" applyFill="1" applyBorder="1" applyAlignment="1">
      <alignment horizontal="left" vertical="top" wrapText="1"/>
    </xf>
    <xf numFmtId="0" fontId="12" fillId="6" borderId="35" xfId="0" applyFont="1" applyFill="1" applyBorder="1" applyAlignment="1">
      <alignment horizontal="left" vertical="top" wrapText="1"/>
    </xf>
    <xf numFmtId="0" fontId="12" fillId="6" borderId="36" xfId="0" applyFont="1" applyFill="1" applyBorder="1" applyAlignment="1">
      <alignment horizontal="left" vertical="top" wrapText="1"/>
    </xf>
    <xf numFmtId="0" fontId="12" fillId="6" borderId="0" xfId="0" applyFont="1" applyFill="1" applyAlignment="1">
      <alignment horizontal="left" vertical="top" wrapText="1"/>
    </xf>
    <xf numFmtId="0" fontId="12" fillId="6" borderId="37" xfId="0" applyFont="1" applyFill="1" applyBorder="1" applyAlignment="1">
      <alignment horizontal="left" vertical="top" wrapText="1"/>
    </xf>
    <xf numFmtId="0" fontId="12" fillId="6" borderId="38" xfId="0" applyFont="1" applyFill="1" applyBorder="1" applyAlignment="1">
      <alignment horizontal="left" vertical="top" wrapText="1"/>
    </xf>
    <xf numFmtId="0" fontId="12" fillId="6" borderId="39" xfId="0" applyFont="1" applyFill="1" applyBorder="1" applyAlignment="1">
      <alignment horizontal="left" vertical="top" wrapText="1"/>
    </xf>
    <xf numFmtId="0" fontId="12" fillId="6" borderId="40" xfId="0" applyFont="1" applyFill="1" applyBorder="1" applyAlignment="1">
      <alignment horizontal="left" vertical="top" wrapText="1"/>
    </xf>
    <xf numFmtId="0" fontId="3" fillId="14" borderId="32" xfId="0" applyFont="1" applyFill="1" applyBorder="1" applyAlignment="1">
      <alignment horizontal="left" vertical="top" wrapText="1"/>
    </xf>
    <xf numFmtId="0" fontId="3" fillId="14" borderId="25" xfId="0" applyFont="1" applyFill="1" applyBorder="1" applyAlignment="1">
      <alignment horizontal="left" vertical="top" wrapText="1"/>
    </xf>
    <xf numFmtId="0" fontId="3" fillId="14" borderId="26" xfId="0" applyFont="1" applyFill="1" applyBorder="1" applyAlignment="1">
      <alignment horizontal="left" vertical="top" wrapText="1"/>
    </xf>
    <xf numFmtId="0" fontId="3" fillId="14" borderId="27" xfId="0" applyFont="1" applyFill="1" applyBorder="1" applyAlignment="1">
      <alignment horizontal="left" vertical="top" wrapText="1"/>
    </xf>
    <xf numFmtId="0" fontId="3" fillId="14" borderId="0" xfId="0" applyFont="1" applyFill="1" applyAlignment="1">
      <alignment horizontal="left" vertical="top" wrapText="1"/>
    </xf>
    <xf numFmtId="0" fontId="3" fillId="14" borderId="28" xfId="0" applyFont="1" applyFill="1" applyBorder="1" applyAlignment="1">
      <alignment horizontal="left" vertical="top" wrapText="1"/>
    </xf>
    <xf numFmtId="0" fontId="3" fillId="14" borderId="29" xfId="0" applyFont="1" applyFill="1" applyBorder="1" applyAlignment="1">
      <alignment horizontal="left" vertical="top" wrapText="1"/>
    </xf>
    <xf numFmtId="0" fontId="3" fillId="14" borderId="30" xfId="0" applyFont="1" applyFill="1" applyBorder="1" applyAlignment="1">
      <alignment horizontal="left" vertical="top" wrapText="1"/>
    </xf>
    <xf numFmtId="0" fontId="3" fillId="14" borderId="31" xfId="0" applyFont="1" applyFill="1" applyBorder="1" applyAlignment="1">
      <alignment horizontal="left" vertical="top"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3" fillId="16" borderId="32" xfId="0" applyFont="1" applyFill="1" applyBorder="1" applyAlignment="1">
      <alignment horizontal="left" vertical="top" wrapText="1"/>
    </xf>
    <xf numFmtId="0" fontId="3" fillId="16" borderId="25" xfId="0" applyFont="1" applyFill="1" applyBorder="1" applyAlignment="1">
      <alignment horizontal="left" vertical="top" wrapText="1"/>
    </xf>
    <xf numFmtId="0" fontId="3" fillId="16" borderId="26" xfId="0" applyFont="1" applyFill="1" applyBorder="1" applyAlignment="1">
      <alignment horizontal="left" vertical="top" wrapText="1"/>
    </xf>
    <xf numFmtId="0" fontId="3" fillId="16" borderId="27" xfId="0" applyFont="1" applyFill="1" applyBorder="1" applyAlignment="1">
      <alignment horizontal="left" vertical="top" wrapText="1"/>
    </xf>
    <xf numFmtId="0" fontId="3" fillId="16" borderId="0" xfId="0" applyFont="1" applyFill="1" applyAlignment="1">
      <alignment horizontal="left" vertical="top" wrapText="1"/>
    </xf>
    <xf numFmtId="0" fontId="3" fillId="16" borderId="28" xfId="0" applyFont="1" applyFill="1" applyBorder="1" applyAlignment="1">
      <alignment horizontal="left" vertical="top" wrapText="1"/>
    </xf>
    <xf numFmtId="0" fontId="3" fillId="16" borderId="29" xfId="0" applyFont="1" applyFill="1" applyBorder="1" applyAlignment="1">
      <alignment horizontal="left" vertical="top" wrapText="1"/>
    </xf>
    <xf numFmtId="0" fontId="3" fillId="16" borderId="30" xfId="0" applyFont="1" applyFill="1" applyBorder="1" applyAlignment="1">
      <alignment horizontal="left" vertical="top" wrapText="1"/>
    </xf>
    <xf numFmtId="0" fontId="3" fillId="16" borderId="31" xfId="0" applyFont="1" applyFill="1" applyBorder="1" applyAlignment="1">
      <alignment horizontal="left" vertical="top" wrapText="1"/>
    </xf>
    <xf numFmtId="0" fontId="17" fillId="6" borderId="24" xfId="0" applyFont="1" applyFill="1" applyBorder="1" applyAlignment="1">
      <alignment horizontal="left" vertical="center"/>
    </xf>
    <xf numFmtId="0" fontId="12" fillId="6" borderId="24" xfId="0" applyFont="1" applyFill="1" applyBorder="1" applyAlignment="1">
      <alignment horizontal="left" vertical="top" wrapText="1"/>
    </xf>
    <xf numFmtId="0" fontId="3" fillId="14" borderId="24" xfId="0" applyFont="1" applyFill="1" applyBorder="1" applyAlignment="1">
      <alignment horizontal="left" vertical="top" wrapText="1"/>
    </xf>
    <xf numFmtId="0" fontId="3" fillId="16" borderId="24" xfId="0" applyFont="1" applyFill="1" applyBorder="1" applyAlignment="1">
      <alignment horizontal="left" vertical="top" wrapText="1"/>
    </xf>
    <xf numFmtId="0" fontId="145" fillId="68" borderId="24" xfId="19" applyFont="1" applyFill="1" applyAlignment="1">
      <alignment horizontal="center" vertical="center" wrapText="1"/>
    </xf>
    <xf numFmtId="0" fontId="151" fillId="68" borderId="24" xfId="19" applyFont="1" applyFill="1" applyAlignment="1">
      <alignment horizontal="center" vertical="center" wrapText="1"/>
    </xf>
    <xf numFmtId="0" fontId="145" fillId="70" borderId="24" xfId="19" applyFont="1" applyFill="1" applyAlignment="1">
      <alignment horizontal="center" vertical="center" wrapText="1"/>
    </xf>
    <xf numFmtId="0" fontId="154" fillId="71" borderId="24" xfId="19" applyFont="1" applyFill="1" applyAlignment="1">
      <alignment horizontal="center" vertical="center" wrapText="1"/>
    </xf>
    <xf numFmtId="0" fontId="157" fillId="72" borderId="24" xfId="19" applyFont="1" applyFill="1" applyAlignment="1">
      <alignment horizontal="center" vertical="center"/>
    </xf>
    <xf numFmtId="0" fontId="147" fillId="0" borderId="0" xfId="0" applyFont="1" applyAlignment="1">
      <alignment horizontal="center" vertical="center" wrapText="1"/>
    </xf>
    <xf numFmtId="167" fontId="51" fillId="18" borderId="24" xfId="5" applyNumberFormat="1" applyFont="1" applyFill="1" applyAlignment="1">
      <alignment horizontal="center" vertical="center"/>
    </xf>
    <xf numFmtId="0" fontId="60" fillId="27" borderId="61" xfId="4" applyFont="1" applyFill="1" applyBorder="1" applyAlignment="1">
      <alignment horizontal="center" vertical="center"/>
    </xf>
    <xf numFmtId="0" fontId="60" fillId="27" borderId="63" xfId="4" applyFont="1" applyFill="1" applyBorder="1" applyAlignment="1">
      <alignment horizontal="center" vertical="center"/>
    </xf>
    <xf numFmtId="0" fontId="61" fillId="21" borderId="60" xfId="9" applyFont="1" applyFill="1" applyBorder="1" applyAlignment="1">
      <alignment horizontal="center" vertical="center"/>
    </xf>
    <xf numFmtId="0" fontId="61" fillId="21" borderId="62" xfId="9" applyFont="1" applyFill="1" applyBorder="1" applyAlignment="1">
      <alignment horizontal="center" vertical="center"/>
    </xf>
    <xf numFmtId="0" fontId="62" fillId="21" borderId="63" xfId="4" applyFont="1" applyFill="1" applyBorder="1" applyAlignment="1">
      <alignment horizontal="center" vertical="center" textRotation="90"/>
    </xf>
    <xf numFmtId="0" fontId="62" fillId="21" borderId="65" xfId="4" applyFont="1" applyFill="1" applyBorder="1" applyAlignment="1">
      <alignment horizontal="center" vertical="center" textRotation="90"/>
    </xf>
    <xf numFmtId="0" fontId="1" fillId="18" borderId="24" xfId="9" applyFont="1" applyFill="1" applyAlignment="1">
      <alignment horizontal="left" vertical="center" wrapText="1"/>
    </xf>
    <xf numFmtId="0" fontId="1" fillId="18" borderId="64" xfId="9" applyFont="1" applyFill="1" applyBorder="1" applyAlignment="1">
      <alignment horizontal="left" vertical="center" wrapText="1"/>
    </xf>
    <xf numFmtId="0" fontId="59" fillId="18" borderId="24" xfId="9" applyFill="1" applyAlignment="1">
      <alignment horizontal="left" vertical="top" wrapText="1"/>
    </xf>
    <xf numFmtId="0" fontId="59" fillId="18" borderId="64" xfId="9" applyFill="1" applyBorder="1" applyAlignment="1">
      <alignment horizontal="left" vertical="top" wrapText="1"/>
    </xf>
    <xf numFmtId="0" fontId="1" fillId="18" borderId="24" xfId="9" applyFont="1" applyFill="1" applyAlignment="1">
      <alignment horizontal="left" vertical="top" wrapText="1"/>
    </xf>
    <xf numFmtId="0" fontId="1" fillId="18" borderId="64" xfId="9" applyFont="1" applyFill="1" applyBorder="1" applyAlignment="1">
      <alignment horizontal="left" vertical="top" wrapText="1"/>
    </xf>
    <xf numFmtId="0" fontId="59" fillId="18" borderId="24" xfId="9" applyFill="1" applyAlignment="1">
      <alignment horizontal="center" vertical="top" wrapText="1"/>
    </xf>
    <xf numFmtId="0" fontId="59" fillId="18" borderId="64" xfId="9" applyFill="1" applyBorder="1" applyAlignment="1">
      <alignment horizontal="center" vertical="top" wrapText="1"/>
    </xf>
    <xf numFmtId="0" fontId="61" fillId="36" borderId="60" xfId="6" applyFont="1" applyFill="1" applyBorder="1" applyAlignment="1">
      <alignment horizontal="center" vertical="center"/>
    </xf>
    <xf numFmtId="0" fontId="1" fillId="18" borderId="24" xfId="9" applyFont="1" applyFill="1" applyAlignment="1">
      <alignment horizontal="center" vertical="top" wrapText="1"/>
    </xf>
    <xf numFmtId="0" fontId="1" fillId="18" borderId="64" xfId="9" applyFont="1" applyFill="1" applyBorder="1" applyAlignment="1">
      <alignment horizontal="center" vertical="top" wrapText="1"/>
    </xf>
    <xf numFmtId="0" fontId="59" fillId="18" borderId="24" xfId="9" applyFill="1" applyAlignment="1">
      <alignment horizontal="left" vertical="center" wrapText="1"/>
    </xf>
    <xf numFmtId="0" fontId="59" fillId="18" borderId="64" xfId="9" applyFill="1" applyBorder="1" applyAlignment="1">
      <alignment horizontal="left" vertical="center" wrapText="1"/>
    </xf>
    <xf numFmtId="0" fontId="67" fillId="21" borderId="60" xfId="5" applyFont="1" applyFill="1" applyBorder="1" applyAlignment="1">
      <alignment horizontal="center" vertical="center"/>
    </xf>
    <xf numFmtId="0" fontId="67" fillId="21" borderId="62" xfId="5" applyFont="1" applyFill="1" applyBorder="1" applyAlignment="1">
      <alignment horizontal="center" vertical="center"/>
    </xf>
    <xf numFmtId="0" fontId="59" fillId="18" borderId="24" xfId="9" applyFill="1" applyAlignment="1">
      <alignment horizontal="left" wrapText="1"/>
    </xf>
    <xf numFmtId="0" fontId="59" fillId="18" borderId="64" xfId="9" applyFill="1" applyBorder="1" applyAlignment="1">
      <alignment horizontal="left" wrapText="1"/>
    </xf>
    <xf numFmtId="0" fontId="1" fillId="21" borderId="63" xfId="5" applyFill="1" applyBorder="1" applyAlignment="1">
      <alignment horizontal="center"/>
    </xf>
    <xf numFmtId="0" fontId="1" fillId="21" borderId="65" xfId="5" applyFill="1" applyBorder="1" applyAlignment="1">
      <alignment horizontal="center"/>
    </xf>
    <xf numFmtId="0" fontId="1" fillId="0" borderId="24" xfId="5" applyAlignment="1">
      <alignment horizontal="center" wrapText="1"/>
    </xf>
    <xf numFmtId="0" fontId="1" fillId="0" borderId="64" xfId="5" applyBorder="1" applyAlignment="1">
      <alignment horizontal="center" wrapText="1"/>
    </xf>
    <xf numFmtId="0" fontId="79" fillId="0" borderId="24" xfId="10" applyFont="1" applyBorder="1" applyAlignment="1">
      <alignment horizontal="left" vertical="center"/>
    </xf>
    <xf numFmtId="0" fontId="82" fillId="33" borderId="24" xfId="9" applyFont="1" applyFill="1" applyAlignment="1">
      <alignment horizontal="center" vertical="center"/>
    </xf>
    <xf numFmtId="0" fontId="83" fillId="16" borderId="24" xfId="5" applyFont="1" applyFill="1" applyAlignment="1">
      <alignment horizontal="center" vertical="center"/>
    </xf>
    <xf numFmtId="0" fontId="88" fillId="35" borderId="24" xfId="5" applyFont="1" applyFill="1" applyAlignment="1">
      <alignment horizontal="center" vertical="center"/>
    </xf>
    <xf numFmtId="0" fontId="61" fillId="48" borderId="60" xfId="6" applyFont="1" applyFill="1" applyBorder="1" applyAlignment="1">
      <alignment horizontal="center" vertical="center"/>
    </xf>
    <xf numFmtId="0" fontId="92" fillId="36" borderId="63" xfId="4" applyFont="1" applyFill="1" applyBorder="1" applyAlignment="1">
      <alignment horizontal="center"/>
    </xf>
    <xf numFmtId="0" fontId="92" fillId="36" borderId="65" xfId="4" applyFont="1" applyFill="1" applyBorder="1" applyAlignment="1">
      <alignment horizontal="center"/>
    </xf>
    <xf numFmtId="0" fontId="93" fillId="37" borderId="24" xfId="5" applyFont="1" applyFill="1" applyAlignment="1">
      <alignment horizontal="center" vertical="center"/>
    </xf>
    <xf numFmtId="0" fontId="93" fillId="37" borderId="64" xfId="5" applyFont="1" applyFill="1" applyBorder="1" applyAlignment="1">
      <alignment horizontal="center" vertical="center"/>
    </xf>
    <xf numFmtId="0" fontId="97" fillId="35" borderId="24" xfId="14" applyFont="1" applyFill="1" applyAlignment="1" applyProtection="1">
      <alignment horizontal="center" vertical="center"/>
      <protection locked="0"/>
    </xf>
    <xf numFmtId="0" fontId="97" fillId="35" borderId="64" xfId="14" applyFont="1" applyFill="1" applyBorder="1" applyAlignment="1" applyProtection="1">
      <alignment horizontal="center" vertical="center"/>
      <protection locked="0"/>
    </xf>
    <xf numFmtId="0" fontId="33" fillId="18" borderId="24" xfId="4" applyFont="1" applyFill="1" applyAlignment="1">
      <alignment horizontal="left" vertical="center" wrapText="1"/>
    </xf>
    <xf numFmtId="0" fontId="33" fillId="18" borderId="64" xfId="4" applyFont="1" applyFill="1" applyBorder="1" applyAlignment="1">
      <alignment horizontal="left" vertical="center" wrapText="1"/>
    </xf>
    <xf numFmtId="0" fontId="37" fillId="36" borderId="71" xfId="5" applyFont="1" applyFill="1" applyBorder="1" applyAlignment="1">
      <alignment horizontal="center" vertical="center"/>
    </xf>
    <xf numFmtId="0" fontId="37" fillId="36" borderId="72" xfId="5" applyFont="1" applyFill="1" applyBorder="1" applyAlignment="1">
      <alignment horizontal="center" vertical="center"/>
    </xf>
    <xf numFmtId="0" fontId="113" fillId="44" borderId="60" xfId="6" applyFont="1" applyFill="1" applyBorder="1" applyAlignment="1">
      <alignment horizontal="center" vertical="center"/>
    </xf>
    <xf numFmtId="0" fontId="62" fillId="44" borderId="63" xfId="4" applyFont="1" applyFill="1" applyBorder="1" applyAlignment="1">
      <alignment horizontal="center"/>
    </xf>
    <xf numFmtId="0" fontId="62" fillId="44" borderId="65" xfId="4" applyFont="1" applyFill="1" applyBorder="1" applyAlignment="1">
      <alignment horizontal="center"/>
    </xf>
    <xf numFmtId="0" fontId="116" fillId="45" borderId="24" xfId="5" applyFont="1" applyFill="1" applyAlignment="1">
      <alignment horizontal="center" vertical="center"/>
    </xf>
    <xf numFmtId="0" fontId="116" fillId="45" borderId="64" xfId="5" applyFont="1" applyFill="1" applyBorder="1" applyAlignment="1">
      <alignment horizontal="center" vertical="center"/>
    </xf>
    <xf numFmtId="0" fontId="63" fillId="47" borderId="71" xfId="5" applyFont="1" applyFill="1" applyBorder="1" applyAlignment="1">
      <alignment horizontal="center" vertical="center"/>
    </xf>
    <xf numFmtId="0" fontId="63" fillId="47" borderId="72" xfId="5" applyFont="1" applyFill="1" applyBorder="1" applyAlignment="1">
      <alignment horizontal="center" vertical="center"/>
    </xf>
    <xf numFmtId="0" fontId="50" fillId="18" borderId="69" xfId="4" applyFont="1" applyFill="1" applyBorder="1" applyAlignment="1" applyProtection="1">
      <alignment horizontal="center" vertical="center"/>
      <protection hidden="1"/>
    </xf>
    <xf numFmtId="0" fontId="108" fillId="18" borderId="69" xfId="4" applyFont="1" applyFill="1" applyBorder="1" applyAlignment="1" applyProtection="1">
      <alignment horizontal="center" vertical="center"/>
      <protection hidden="1"/>
    </xf>
    <xf numFmtId="0" fontId="108" fillId="18" borderId="70" xfId="4" applyFont="1" applyFill="1" applyBorder="1" applyAlignment="1" applyProtection="1">
      <alignment horizontal="center" vertical="center"/>
      <protection hidden="1"/>
    </xf>
    <xf numFmtId="0" fontId="92" fillId="48" borderId="63" xfId="4" applyFont="1" applyFill="1" applyBorder="1" applyAlignment="1">
      <alignment horizontal="center"/>
    </xf>
    <xf numFmtId="0" fontId="92" fillId="48" borderId="65" xfId="4" applyFont="1" applyFill="1" applyBorder="1" applyAlignment="1">
      <alignment horizontal="center"/>
    </xf>
    <xf numFmtId="0" fontId="37" fillId="48" borderId="71" xfId="5" applyFont="1" applyFill="1" applyBorder="1" applyAlignment="1">
      <alignment horizontal="center" vertical="center"/>
    </xf>
    <xf numFmtId="0" fontId="37" fillId="48" borderId="72" xfId="5" applyFont="1" applyFill="1" applyBorder="1" applyAlignment="1">
      <alignment horizontal="center" vertical="center"/>
    </xf>
    <xf numFmtId="0" fontId="92" fillId="53" borderId="63" xfId="4" applyFont="1" applyFill="1" applyBorder="1" applyAlignment="1">
      <alignment horizontal="center"/>
    </xf>
    <xf numFmtId="0" fontId="92" fillId="53" borderId="65" xfId="4" applyFont="1" applyFill="1" applyBorder="1" applyAlignment="1">
      <alignment horizontal="center"/>
    </xf>
    <xf numFmtId="0" fontId="135" fillId="35" borderId="80" xfId="16" applyFont="1" applyFill="1" applyBorder="1" applyAlignment="1">
      <alignment horizontal="center" vertical="center"/>
    </xf>
    <xf numFmtId="0" fontId="135" fillId="35" borderId="81" xfId="16" applyFont="1" applyFill="1" applyBorder="1" applyAlignment="1">
      <alignment horizontal="center" vertical="center"/>
    </xf>
    <xf numFmtId="175" fontId="68" fillId="35" borderId="24" xfId="4" applyNumberFormat="1" applyFont="1" applyFill="1" applyAlignment="1" applyProtection="1">
      <alignment horizontal="center" vertical="center"/>
      <protection hidden="1"/>
    </xf>
    <xf numFmtId="178" fontId="37" fillId="24" borderId="24" xfId="4" applyNumberFormat="1" applyFont="1" applyFill="1" applyAlignment="1" applyProtection="1">
      <alignment horizontal="center" vertical="center"/>
      <protection hidden="1"/>
    </xf>
    <xf numFmtId="0" fontId="136" fillId="21" borderId="60" xfId="15" applyFont="1" applyFill="1" applyBorder="1" applyAlignment="1" applyProtection="1">
      <alignment horizontal="right" vertical="center"/>
      <protection locked="0"/>
    </xf>
    <xf numFmtId="0" fontId="136" fillId="21" borderId="62" xfId="15" applyFont="1" applyFill="1" applyBorder="1" applyAlignment="1" applyProtection="1">
      <alignment horizontal="right" vertical="center"/>
      <protection locked="0"/>
    </xf>
    <xf numFmtId="0" fontId="76" fillId="18" borderId="71" xfId="16" applyFont="1" applyFill="1" applyBorder="1" applyAlignment="1">
      <alignment horizontal="center" vertical="center"/>
    </xf>
    <xf numFmtId="0" fontId="76" fillId="18" borderId="69" xfId="16" applyFont="1" applyFill="1" applyBorder="1" applyAlignment="1">
      <alignment horizontal="center" vertical="center"/>
    </xf>
    <xf numFmtId="0" fontId="138" fillId="35" borderId="71" xfId="16" applyFont="1" applyFill="1" applyBorder="1" applyAlignment="1">
      <alignment horizontal="center" vertical="center"/>
    </xf>
    <xf numFmtId="0" fontId="138" fillId="35" borderId="72" xfId="16" applyFont="1" applyFill="1" applyBorder="1" applyAlignment="1">
      <alignment horizontal="center" vertical="center"/>
    </xf>
    <xf numFmtId="0" fontId="138" fillId="35" borderId="69" xfId="16" applyFont="1" applyFill="1" applyBorder="1" applyAlignment="1">
      <alignment horizontal="center" vertical="center"/>
    </xf>
    <xf numFmtId="0" fontId="138" fillId="35" borderId="70" xfId="16" applyFont="1" applyFill="1" applyBorder="1" applyAlignment="1">
      <alignment horizontal="center" vertical="center"/>
    </xf>
    <xf numFmtId="0" fontId="1" fillId="0" borderId="71" xfId="16" applyBorder="1" applyAlignment="1">
      <alignment horizontal="center" vertical="center"/>
    </xf>
    <xf numFmtId="0" fontId="1" fillId="0" borderId="69" xfId="16" applyBorder="1" applyAlignment="1">
      <alignment horizontal="center" vertical="center"/>
    </xf>
    <xf numFmtId="195" fontId="37" fillId="18" borderId="71" xfId="15" applyNumberFormat="1" applyFont="1" applyFill="1" applyBorder="1" applyAlignment="1">
      <alignment horizontal="left" vertical="center"/>
    </xf>
    <xf numFmtId="195" fontId="37" fillId="18" borderId="24" xfId="15" applyNumberFormat="1" applyFont="1" applyFill="1" applyAlignment="1">
      <alignment horizontal="left" vertical="center"/>
    </xf>
    <xf numFmtId="0" fontId="38" fillId="18" borderId="71" xfId="15" applyFont="1" applyFill="1" applyBorder="1" applyAlignment="1">
      <alignment horizontal="right" vertical="center"/>
    </xf>
    <xf numFmtId="0" fontId="38" fillId="18" borderId="69" xfId="15" applyFont="1" applyFill="1" applyBorder="1" applyAlignment="1">
      <alignment horizontal="right" vertical="center"/>
    </xf>
    <xf numFmtId="9" fontId="38" fillId="18" borderId="72" xfId="16" applyNumberFormat="1" applyFont="1" applyFill="1" applyBorder="1" applyAlignment="1">
      <alignment horizontal="center" vertical="center"/>
    </xf>
    <xf numFmtId="9" fontId="38" fillId="18" borderId="70" xfId="16" applyNumberFormat="1" applyFont="1" applyFill="1" applyBorder="1" applyAlignment="1">
      <alignment horizontal="center" vertical="center"/>
    </xf>
    <xf numFmtId="0" fontId="135" fillId="35" borderId="25" xfId="16" applyFont="1" applyFill="1" applyBorder="1" applyAlignment="1">
      <alignment horizontal="center" vertical="center"/>
    </xf>
    <xf numFmtId="0" fontId="135" fillId="35" borderId="85" xfId="16" applyFont="1" applyFill="1" applyBorder="1" applyAlignment="1">
      <alignment horizontal="center" vertical="center"/>
    </xf>
    <xf numFmtId="0" fontId="141" fillId="18" borderId="25" xfId="4" applyFont="1" applyFill="1" applyBorder="1" applyAlignment="1">
      <alignment horizontal="center" vertical="center" wrapText="1"/>
    </xf>
    <xf numFmtId="0" fontId="141" fillId="18" borderId="85" xfId="4" applyFont="1" applyFill="1" applyBorder="1" applyAlignment="1">
      <alignment horizontal="center" vertical="center" wrapText="1"/>
    </xf>
    <xf numFmtId="0" fontId="142" fillId="18" borderId="25" xfId="4" applyFont="1" applyFill="1" applyBorder="1" applyAlignment="1">
      <alignment horizontal="center" vertical="center" wrapText="1"/>
    </xf>
    <xf numFmtId="0" fontId="142" fillId="18" borderId="26" xfId="4" applyFont="1" applyFill="1" applyBorder="1" applyAlignment="1">
      <alignment horizontal="center" vertical="center" wrapText="1"/>
    </xf>
    <xf numFmtId="49" fontId="63" fillId="27" borderId="60" xfId="4" applyNumberFormat="1" applyFont="1" applyFill="1" applyBorder="1" applyAlignment="1">
      <alignment horizontal="center" vertical="center"/>
    </xf>
    <xf numFmtId="49" fontId="63" fillId="27" borderId="62" xfId="4" applyNumberFormat="1" applyFont="1" applyFill="1" applyBorder="1" applyAlignment="1">
      <alignment horizontal="center" vertical="center"/>
    </xf>
    <xf numFmtId="0" fontId="92" fillId="53" borderId="63" xfId="4" applyFont="1" applyFill="1" applyBorder="1" applyAlignment="1">
      <alignment horizontal="center" wrapText="1"/>
    </xf>
    <xf numFmtId="0" fontId="92" fillId="53" borderId="65" xfId="4" applyFont="1" applyFill="1" applyBorder="1" applyAlignment="1">
      <alignment horizontal="center" wrapText="1"/>
    </xf>
  </cellXfs>
  <cellStyles count="21">
    <cellStyle name="Lien hypertexte 2" xfId="8" xr:uid="{F907E041-C58B-45CE-897B-346B28F29EC5}"/>
    <cellStyle name="Lien hypertexte 2 2 3" xfId="11" xr:uid="{A46D114B-7193-4183-8792-5F9CA239E3A6}"/>
    <cellStyle name="Lien hypertexte 3 2 2" xfId="10" xr:uid="{701B9289-18F5-4D74-8029-CEA4D3BF3BB7}"/>
    <cellStyle name="Normal" xfId="0" builtinId="0"/>
    <cellStyle name="Normal 10 2 2 2 2 3 2 3 2 2 4 2" xfId="5" xr:uid="{E789FE33-6A9A-45DB-BCD3-035DA8D0C2DF}"/>
    <cellStyle name="Normal 12 2" xfId="13" xr:uid="{5ACDC05C-C032-4602-8592-4030E64412A7}"/>
    <cellStyle name="Normal 2" xfId="1" xr:uid="{00000000-0005-0000-0000-000001000000}"/>
    <cellStyle name="Normal 2 2 2 2 2" xfId="4" xr:uid="{DC6DA3C2-2074-4F7B-B58C-6FA27294E1FC}"/>
    <cellStyle name="Normal 2 2 2 2 2 2" xfId="2" xr:uid="{00000000-0005-0000-0000-000002000000}"/>
    <cellStyle name="Normal 2 2 2 2 2 3" xfId="19" xr:uid="{85D2638A-6C5E-440B-B25D-0308734B7157}"/>
    <cellStyle name="Normal 2 2 3 2" xfId="18" xr:uid="{AFB34162-58DC-496A-BD5A-CEB1BCE5B811}"/>
    <cellStyle name="Normal 2 2 5" xfId="9" xr:uid="{4864C4F9-DEC9-4591-BD58-15D33AD2B922}"/>
    <cellStyle name="Normal 2 3" xfId="17" xr:uid="{A61D7E49-4EEC-4572-8D4E-FC0FE6591E15}"/>
    <cellStyle name="Normal 3" xfId="3" xr:uid="{00000000-0005-0000-0000-000003000000}"/>
    <cellStyle name="Normal 4 2 2 2 2 2 2 6 2 2 3 2 3 3 2 2 4 2" xfId="16" xr:uid="{4E41C9C1-BE30-4841-B93F-092DAC2CEBDA}"/>
    <cellStyle name="Normal 4 2 2 2 3 2 2 3 2 2" xfId="12" xr:uid="{B993FCF4-3E39-4F80-A5BC-B530BD044C6D}"/>
    <cellStyle name="Normal 4 3 4 2 2 2" xfId="6" xr:uid="{FB5057A5-D7DB-4604-B0C3-04B331023C2E}"/>
    <cellStyle name="Normal_Bons de commande livraison" xfId="14" xr:uid="{40182889-BED4-4F04-9ECF-0249F4C357FC}"/>
    <cellStyle name="Normal_Comparer recettes 2009 OK 2 2" xfId="7" xr:uid="{6AE9FD5C-03FD-4F81-90A1-63DE9D7F3BFE}"/>
    <cellStyle name="Normal_Comparer recettes 2009 OK 2 2 2" xfId="20" xr:uid="{CBAC611E-4965-43CD-A1DC-F9AF80CD91D5}"/>
    <cellStyle name="Normal_Forum Marais 15 09 2001 2 2 2" xfId="15" xr:uid="{6A03F64C-B2AC-44A6-8978-5932BF5BABAD}"/>
  </cellStyles>
  <dxfs count="89">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b/>
        <i val="0"/>
        <color theme="0"/>
      </font>
      <fill>
        <patternFill>
          <bgColor rgb="FF7030A0"/>
        </patternFill>
      </fill>
    </dxf>
    <dxf>
      <font>
        <b/>
        <color rgb="FF7F6000"/>
      </font>
      <fill>
        <patternFill>
          <bgColor rgb="FFF4B183"/>
        </patternFill>
      </fill>
    </dxf>
    <dxf>
      <font>
        <b/>
        <color rgb="FFFFFFFF"/>
      </font>
      <fill>
        <patternFill>
          <bgColor rgb="FFC00000"/>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66534"/>
      </font>
      <fill>
        <patternFill>
          <bgColor rgb="FFE7F4EA"/>
        </patternFill>
      </fill>
    </dxf>
    <dxf>
      <font>
        <b/>
        <color rgb="FF1D4ED8"/>
      </font>
      <fill>
        <patternFill>
          <bgColor rgb="FFEAF2F8"/>
        </patternFill>
      </fill>
    </dxf>
    <dxf>
      <font>
        <b/>
        <color rgb="FF1D4ED8"/>
      </font>
      <fill>
        <patternFill>
          <bgColor rgb="FFEAF2F8"/>
        </patternFill>
      </fill>
    </dxf>
    <dxf>
      <font>
        <b/>
        <color rgb="FF166534"/>
      </font>
      <fill>
        <patternFill>
          <bgColor rgb="FFE7F4EA"/>
        </patternFill>
      </fill>
    </dxf>
    <dxf>
      <font>
        <b/>
        <color rgb="FF9A3412"/>
      </font>
      <fill>
        <patternFill>
          <bgColor rgb="FFFCE4D6"/>
        </patternFill>
      </fill>
    </dxf>
    <dxf>
      <font>
        <b/>
        <color rgb="FF166534"/>
      </font>
      <fill>
        <patternFill>
          <bgColor rgb="FFDDEFD8"/>
        </patternFill>
      </fill>
    </dxf>
  </dxfs>
  <tableStyles count="0" defaultTableStyle="TableStyleMedium2" defaultPivotStyle="PivotStyleLight16"/>
  <colors>
    <mruColors>
      <color rgb="FF29A3FF"/>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228599</xdr:colOff>
      <xdr:row>88</xdr:row>
      <xdr:rowOff>9525</xdr:rowOff>
    </xdr:from>
    <xdr:to>
      <xdr:col>4</xdr:col>
      <xdr:colOff>636737</xdr:colOff>
      <xdr:row>89</xdr:row>
      <xdr:rowOff>150963</xdr:rowOff>
    </xdr:to>
    <xdr:pic>
      <xdr:nvPicPr>
        <xdr:cNvPr id="2" name="Image 1" descr="Google (Android 12L)">
          <a:extLst>
            <a:ext uri="{FF2B5EF4-FFF2-40B4-BE49-F238E27FC236}">
              <a16:creationId xmlns:a16="http://schemas.microsoft.com/office/drawing/2014/main" id="{440FC779-F9A7-4F0D-8AE8-1A4A10289D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936220" flipH="1" flipV="1">
          <a:off x="3009899" y="25898475"/>
          <a:ext cx="408138" cy="40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142875</xdr:colOff>
      <xdr:row>88</xdr:row>
      <xdr:rowOff>0</xdr:rowOff>
    </xdr:from>
    <xdr:to>
      <xdr:col>5</xdr:col>
      <xdr:colOff>447675</xdr:colOff>
      <xdr:row>89</xdr:row>
      <xdr:rowOff>38100</xdr:rowOff>
    </xdr:to>
    <xdr:pic>
      <xdr:nvPicPr>
        <xdr:cNvPr id="3" name="Image 2" descr="🔗 Lien">
          <a:extLst>
            <a:ext uri="{FF2B5EF4-FFF2-40B4-BE49-F238E27FC236}">
              <a16:creationId xmlns:a16="http://schemas.microsoft.com/office/drawing/2014/main" id="{E62745D8-2008-4B87-8C28-C98438BA25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258889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88</xdr:row>
      <xdr:rowOff>1</xdr:rowOff>
    </xdr:from>
    <xdr:to>
      <xdr:col>6</xdr:col>
      <xdr:colOff>333375</xdr:colOff>
      <xdr:row>89</xdr:row>
      <xdr:rowOff>104417</xdr:rowOff>
    </xdr:to>
    <xdr:pic>
      <xdr:nvPicPr>
        <xdr:cNvPr id="4" name="Image 3">
          <a:extLst>
            <a:ext uri="{FF2B5EF4-FFF2-40B4-BE49-F238E27FC236}">
              <a16:creationId xmlns:a16="http://schemas.microsoft.com/office/drawing/2014/main" id="{D6C6FE6B-43A0-4FD2-AE42-80FDC72EE02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52950" y="25888951"/>
          <a:ext cx="333375" cy="371116"/>
        </a:xfrm>
        <a:prstGeom prst="rect">
          <a:avLst/>
        </a:prstGeom>
      </xdr:spPr>
    </xdr:pic>
    <xdr:clientData/>
  </xdr:twoCellAnchor>
  <xdr:oneCellAnchor>
    <xdr:from>
      <xdr:col>9</xdr:col>
      <xdr:colOff>0</xdr:colOff>
      <xdr:row>42</xdr:row>
      <xdr:rowOff>0</xdr:rowOff>
    </xdr:from>
    <xdr:ext cx="1438476" cy="781159"/>
    <xdr:pic>
      <xdr:nvPicPr>
        <xdr:cNvPr id="5" name="Image 4">
          <a:extLst>
            <a:ext uri="{FF2B5EF4-FFF2-40B4-BE49-F238E27FC236}">
              <a16:creationId xmlns:a16="http://schemas.microsoft.com/office/drawing/2014/main" id="{CDD70AE0-C030-41F0-914E-DBFBF5398B3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67600" y="13620750"/>
          <a:ext cx="1438476" cy="781159"/>
        </a:xfrm>
        <a:prstGeom prst="rect">
          <a:avLst/>
        </a:prstGeom>
      </xdr:spPr>
    </xdr:pic>
    <xdr:clientData/>
  </xdr:oneCellAnchor>
  <xdr:oneCellAnchor>
    <xdr:from>
      <xdr:col>9</xdr:col>
      <xdr:colOff>0</xdr:colOff>
      <xdr:row>47</xdr:row>
      <xdr:rowOff>0</xdr:rowOff>
    </xdr:from>
    <xdr:ext cx="3639058" cy="2133898"/>
    <xdr:pic>
      <xdr:nvPicPr>
        <xdr:cNvPr id="6" name="Image 5">
          <a:extLst>
            <a:ext uri="{FF2B5EF4-FFF2-40B4-BE49-F238E27FC236}">
              <a16:creationId xmlns:a16="http://schemas.microsoft.com/office/drawing/2014/main" id="{80D38940-7673-4F28-B3E9-47464FA2081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467600" y="14954250"/>
          <a:ext cx="3639058" cy="2133898"/>
        </a:xfrm>
        <a:prstGeom prst="rect">
          <a:avLst/>
        </a:prstGeom>
      </xdr:spPr>
    </xdr:pic>
    <xdr:clientData/>
  </xdr:oneCellAnchor>
  <xdr:twoCellAnchor editAs="oneCell">
    <xdr:from>
      <xdr:col>9</xdr:col>
      <xdr:colOff>844550</xdr:colOff>
      <xdr:row>4</xdr:row>
      <xdr:rowOff>22225</xdr:rowOff>
    </xdr:from>
    <xdr:to>
      <xdr:col>10</xdr:col>
      <xdr:colOff>392953</xdr:colOff>
      <xdr:row>5</xdr:row>
      <xdr:rowOff>323850</xdr:rowOff>
    </xdr:to>
    <xdr:pic>
      <xdr:nvPicPr>
        <xdr:cNvPr id="7" name="Image 6">
          <a:extLst>
            <a:ext uri="{FF2B5EF4-FFF2-40B4-BE49-F238E27FC236}">
              <a16:creationId xmlns:a16="http://schemas.microsoft.com/office/drawing/2014/main" id="{D44537E7-D618-4FB9-BBFB-B11A73D3B351}"/>
            </a:ext>
          </a:extLst>
        </xdr:cNvPr>
        <xdr:cNvPicPr>
          <a:picLocks noChangeAspect="1"/>
        </xdr:cNvPicPr>
      </xdr:nvPicPr>
      <xdr:blipFill>
        <a:blip xmlns:r="http://schemas.openxmlformats.org/officeDocument/2006/relationships" r:embed="rId6"/>
        <a:stretch>
          <a:fillRect/>
        </a:stretch>
      </xdr:blipFill>
      <xdr:spPr>
        <a:xfrm>
          <a:off x="8312150" y="879475"/>
          <a:ext cx="815228" cy="568325"/>
        </a:xfrm>
        <a:prstGeom prst="rect">
          <a:avLst/>
        </a:prstGeom>
      </xdr:spPr>
    </xdr:pic>
    <xdr:clientData/>
  </xdr:twoCellAnchor>
  <xdr:twoCellAnchor editAs="oneCell">
    <xdr:from>
      <xdr:col>24</xdr:col>
      <xdr:colOff>73025</xdr:colOff>
      <xdr:row>4</xdr:row>
      <xdr:rowOff>165100</xdr:rowOff>
    </xdr:from>
    <xdr:to>
      <xdr:col>25</xdr:col>
      <xdr:colOff>3588</xdr:colOff>
      <xdr:row>6</xdr:row>
      <xdr:rowOff>127000</xdr:rowOff>
    </xdr:to>
    <xdr:pic>
      <xdr:nvPicPr>
        <xdr:cNvPr id="8" name="Image 7">
          <a:extLst>
            <a:ext uri="{FF2B5EF4-FFF2-40B4-BE49-F238E27FC236}">
              <a16:creationId xmlns:a16="http://schemas.microsoft.com/office/drawing/2014/main" id="{29F2B250-956C-48D0-998D-140C7D4472B3}"/>
            </a:ext>
          </a:extLst>
        </xdr:cNvPr>
        <xdr:cNvPicPr>
          <a:picLocks noChangeAspect="1"/>
        </xdr:cNvPicPr>
      </xdr:nvPicPr>
      <xdr:blipFill>
        <a:blip xmlns:r="http://schemas.openxmlformats.org/officeDocument/2006/relationships" r:embed="rId7"/>
        <a:stretch>
          <a:fillRect/>
        </a:stretch>
      </xdr:blipFill>
      <xdr:spPr>
        <a:xfrm>
          <a:off x="22685375" y="1022350"/>
          <a:ext cx="844963" cy="609600"/>
        </a:xfrm>
        <a:prstGeom prst="rect">
          <a:avLst/>
        </a:prstGeom>
      </xdr:spPr>
    </xdr:pic>
    <xdr:clientData/>
  </xdr:twoCellAnchor>
  <xdr:twoCellAnchor editAs="oneCell">
    <xdr:from>
      <xdr:col>40</xdr:col>
      <xdr:colOff>593725</xdr:colOff>
      <xdr:row>5</xdr:row>
      <xdr:rowOff>82550</xdr:rowOff>
    </xdr:from>
    <xdr:to>
      <xdr:col>41</xdr:col>
      <xdr:colOff>546221</xdr:colOff>
      <xdr:row>6</xdr:row>
      <xdr:rowOff>298534</xdr:rowOff>
    </xdr:to>
    <xdr:pic>
      <xdr:nvPicPr>
        <xdr:cNvPr id="9" name="Image 8">
          <a:extLst>
            <a:ext uri="{FF2B5EF4-FFF2-40B4-BE49-F238E27FC236}">
              <a16:creationId xmlns:a16="http://schemas.microsoft.com/office/drawing/2014/main" id="{C21445A7-8E47-4897-9B4B-266B2A2247BD}"/>
            </a:ext>
          </a:extLst>
        </xdr:cNvPr>
        <xdr:cNvPicPr>
          <a:picLocks noChangeAspect="1"/>
        </xdr:cNvPicPr>
      </xdr:nvPicPr>
      <xdr:blipFill>
        <a:blip xmlns:r="http://schemas.openxmlformats.org/officeDocument/2006/relationships" r:embed="rId8"/>
        <a:stretch>
          <a:fillRect/>
        </a:stretch>
      </xdr:blipFill>
      <xdr:spPr>
        <a:xfrm>
          <a:off x="40151050" y="1206500"/>
          <a:ext cx="866896" cy="596984"/>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8" Type="http://schemas.openxmlformats.org/officeDocument/2006/relationships/hyperlink" Target="http://www.uprt.fr/mesimages/fichiers-uprt/hop-alimentation/hop-photos-quantit%C3%A9s.pdf" TargetMode="External"/><Relationship Id="rId3" Type="http://schemas.openxmlformats.org/officeDocument/2006/relationships/hyperlink" Target="https://bepo.fr/wiki/Menu" TargetMode="External"/><Relationship Id="rId7" Type="http://schemas.openxmlformats.org/officeDocument/2006/relationships/hyperlink" Target="https://everything.fr.softonic.com/" TargetMode="External"/><Relationship Id="rId12" Type="http://schemas.openxmlformats.org/officeDocument/2006/relationships/drawing" Target="../drawings/drawing1.xml"/><Relationship Id="rId2" Type="http://schemas.openxmlformats.org/officeDocument/2006/relationships/hyperlink" Target="https://bepo.fr/wiki/Manuel" TargetMode="External"/><Relationship Id="rId1" Type="http://schemas.openxmlformats.org/officeDocument/2006/relationships/hyperlink" Target="http://www.symbole-clavier.com/" TargetMode="External"/><Relationship Id="rId6" Type="http://schemas.openxmlformats.org/officeDocument/2006/relationships/hyperlink" Target="https://www.youtube.com/watch?v=BEAwIv4fIw4" TargetMode="External"/><Relationship Id="rId11" Type="http://schemas.openxmlformats.org/officeDocument/2006/relationships/printerSettings" Target="../printerSettings/printerSettings1.bin"/><Relationship Id="rId5" Type="http://schemas.openxmlformats.org/officeDocument/2006/relationships/hyperlink" Target="https://www.premiers-clics.fr/cours-informatique/windows-convertir-un-cd-en-fichiers-mp3/" TargetMode="External"/><Relationship Id="rId10" Type="http://schemas.openxmlformats.org/officeDocument/2006/relationships/hyperlink" Target="https://www.youtube.com/watch?v=2TmdhLLUsOQ" TargetMode="External"/><Relationship Id="rId4" Type="http://schemas.openxmlformats.org/officeDocument/2006/relationships/hyperlink" Target="https://www.premiers-clics.fr/cours-informatique/windows-les-fonctionnalites-du-clavier/" TargetMode="External"/><Relationship Id="rId9" Type="http://schemas.openxmlformats.org/officeDocument/2006/relationships/hyperlink" Target="http://www.diet-life.fr/visuellement-100-cal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955C6-BAE4-4C12-8DBA-2535C69CEC29}">
  <dimension ref="B2:E28"/>
  <sheetViews>
    <sheetView showGridLines="0" tabSelected="1" workbookViewId="0">
      <selection activeCell="H13" sqref="H13"/>
    </sheetView>
  </sheetViews>
  <sheetFormatPr baseColWidth="10" defaultColWidth="9" defaultRowHeight="15.75" x14ac:dyDescent="0.25"/>
  <cols>
    <col min="1" max="1" width="5" style="87" customWidth="1"/>
    <col min="2" max="2" width="16" style="87" customWidth="1"/>
    <col min="3" max="3" width="90" style="87" customWidth="1"/>
    <col min="4" max="5" width="18" style="87" customWidth="1"/>
    <col min="6" max="16384" width="9" style="87"/>
  </cols>
  <sheetData>
    <row r="2" spans="2:5" ht="21" x14ac:dyDescent="0.25">
      <c r="B2" s="567" t="s">
        <v>1725</v>
      </c>
    </row>
    <row r="4" spans="2:5" ht="33.950000000000003" customHeight="1" x14ac:dyDescent="0.25">
      <c r="B4" s="636" t="s">
        <v>1382</v>
      </c>
      <c r="C4" s="637"/>
      <c r="D4" s="637"/>
      <c r="E4" s="638"/>
    </row>
    <row r="5" spans="2:5" ht="15" customHeight="1" x14ac:dyDescent="0.25">
      <c r="B5" s="560" t="s">
        <v>1723</v>
      </c>
      <c r="C5" s="88"/>
      <c r="D5" s="88"/>
      <c r="E5" s="100"/>
    </row>
    <row r="6" spans="2:5" ht="33.950000000000003" customHeight="1" x14ac:dyDescent="0.25">
      <c r="B6" s="557" t="s">
        <v>1428</v>
      </c>
      <c r="C6" s="558"/>
      <c r="D6" s="558"/>
      <c r="E6" s="559"/>
    </row>
    <row r="7" spans="2:5" ht="15" customHeight="1" x14ac:dyDescent="0.25">
      <c r="B7" s="99"/>
      <c r="C7" s="88"/>
      <c r="D7" s="88"/>
      <c r="E7" s="100"/>
    </row>
    <row r="8" spans="2:5" ht="21" customHeight="1" x14ac:dyDescent="0.25">
      <c r="B8" s="101" t="s">
        <v>1429</v>
      </c>
      <c r="C8" s="102" t="s">
        <v>1430</v>
      </c>
      <c r="D8" s="102"/>
      <c r="E8" s="103"/>
    </row>
    <row r="9" spans="2:5" ht="26.1" customHeight="1" x14ac:dyDescent="0.25">
      <c r="B9" s="104" t="s">
        <v>1383</v>
      </c>
      <c r="C9" s="105" t="s">
        <v>1431</v>
      </c>
      <c r="D9" s="106"/>
      <c r="E9" s="107"/>
    </row>
    <row r="10" spans="2:5" ht="26.1" customHeight="1" x14ac:dyDescent="0.25">
      <c r="B10" s="108" t="s">
        <v>1384</v>
      </c>
      <c r="C10" s="109" t="s">
        <v>1440</v>
      </c>
      <c r="D10" s="110"/>
      <c r="E10" s="111"/>
    </row>
    <row r="11" spans="2:5" ht="26.1" customHeight="1" x14ac:dyDescent="0.25">
      <c r="B11" s="108" t="s">
        <v>1385</v>
      </c>
      <c r="C11" s="109" t="s">
        <v>1718</v>
      </c>
      <c r="D11" s="110"/>
      <c r="E11" s="111"/>
    </row>
    <row r="12" spans="2:5" ht="26.1" customHeight="1" x14ac:dyDescent="0.25">
      <c r="B12" s="108" t="s">
        <v>1386</v>
      </c>
      <c r="C12" s="109" t="s">
        <v>1441</v>
      </c>
      <c r="D12" s="110"/>
      <c r="E12" s="111"/>
    </row>
    <row r="13" spans="2:5" ht="26.1" customHeight="1" x14ac:dyDescent="0.25">
      <c r="B13" s="108" t="s">
        <v>1387</v>
      </c>
      <c r="C13" s="109" t="s">
        <v>1432</v>
      </c>
      <c r="D13" s="110"/>
      <c r="E13" s="111"/>
    </row>
    <row r="14" spans="2:5" ht="26.1" customHeight="1" x14ac:dyDescent="0.25">
      <c r="B14" s="108" t="s">
        <v>1388</v>
      </c>
      <c r="C14" s="109" t="s">
        <v>1719</v>
      </c>
      <c r="D14" s="110"/>
      <c r="E14" s="111"/>
    </row>
    <row r="15" spans="2:5" ht="26.1" customHeight="1" x14ac:dyDescent="0.25">
      <c r="B15" s="108" t="s">
        <v>1433</v>
      </c>
      <c r="C15" s="109" t="s">
        <v>1720</v>
      </c>
      <c r="D15" s="110"/>
      <c r="E15" s="111"/>
    </row>
    <row r="16" spans="2:5" ht="26.1" customHeight="1" x14ac:dyDescent="0.25">
      <c r="B16" s="108" t="s">
        <v>1722</v>
      </c>
      <c r="C16" s="109" t="s">
        <v>1721</v>
      </c>
      <c r="D16" s="110"/>
      <c r="E16" s="111"/>
    </row>
    <row r="17" spans="2:5" ht="15" customHeight="1" x14ac:dyDescent="0.25">
      <c r="B17" s="122"/>
      <c r="C17" s="123"/>
      <c r="D17" s="123"/>
      <c r="E17" s="124"/>
    </row>
    <row r="18" spans="2:5" ht="29.25" customHeight="1" x14ac:dyDescent="0.25">
      <c r="B18" s="112" t="s">
        <v>1434</v>
      </c>
      <c r="C18" s="113"/>
      <c r="D18" s="113"/>
      <c r="E18" s="114"/>
    </row>
    <row r="19" spans="2:5" ht="32.1" customHeight="1" x14ac:dyDescent="0.25">
      <c r="B19" s="115" t="s">
        <v>1435</v>
      </c>
      <c r="C19" s="89"/>
      <c r="D19" s="89"/>
      <c r="E19" s="116"/>
    </row>
    <row r="20" spans="2:5" ht="32.1" customHeight="1" x14ac:dyDescent="0.25">
      <c r="B20" s="117" t="s">
        <v>1436</v>
      </c>
      <c r="C20" s="90"/>
      <c r="D20" s="90"/>
      <c r="E20" s="118"/>
    </row>
    <row r="21" spans="2:5" ht="32.1" customHeight="1" x14ac:dyDescent="0.25">
      <c r="B21" s="117" t="s">
        <v>1437</v>
      </c>
      <c r="C21" s="90"/>
      <c r="D21" s="90"/>
      <c r="E21" s="118"/>
    </row>
    <row r="22" spans="2:5" ht="32.1" customHeight="1" x14ac:dyDescent="0.25">
      <c r="B22" s="117" t="s">
        <v>1438</v>
      </c>
      <c r="C22" s="90"/>
      <c r="D22" s="90"/>
      <c r="E22" s="118"/>
    </row>
    <row r="23" spans="2:5" ht="32.1" customHeight="1" x14ac:dyDescent="0.25">
      <c r="B23" s="119" t="s">
        <v>1439</v>
      </c>
      <c r="C23" s="120"/>
      <c r="D23" s="120"/>
      <c r="E23" s="121"/>
    </row>
    <row r="25" spans="2:5" ht="21" customHeight="1" x14ac:dyDescent="0.25">
      <c r="B25" s="551" t="s">
        <v>1712</v>
      </c>
      <c r="C25" s="551"/>
      <c r="D25" s="551"/>
      <c r="E25" s="551"/>
    </row>
    <row r="26" spans="2:5" ht="21" customHeight="1" x14ac:dyDescent="0.25">
      <c r="B26" s="552" t="s">
        <v>1715</v>
      </c>
      <c r="C26" s="552"/>
      <c r="D26" s="552"/>
      <c r="E26" s="552"/>
    </row>
    <row r="27" spans="2:5" ht="21" customHeight="1" x14ac:dyDescent="0.25">
      <c r="B27" s="553" t="s">
        <v>1713</v>
      </c>
      <c r="C27" s="553"/>
      <c r="D27" s="553"/>
      <c r="E27" s="553"/>
    </row>
    <row r="28" spans="2:5" ht="21" customHeight="1" x14ac:dyDescent="0.25">
      <c r="B28" s="553" t="s">
        <v>1714</v>
      </c>
      <c r="C28" s="553"/>
      <c r="D28" s="553"/>
      <c r="E28" s="553"/>
    </row>
  </sheetData>
  <mergeCells count="1">
    <mergeCell ref="B4:E4"/>
  </mergeCells>
  <phoneticPr fontId="14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workbookViewId="0">
      <selection activeCell="C7" sqref="C7"/>
    </sheetView>
  </sheetViews>
  <sheetFormatPr baseColWidth="10" defaultColWidth="9" defaultRowHeight="15" x14ac:dyDescent="0.25"/>
  <cols>
    <col min="1" max="1" width="3" style="13" customWidth="1"/>
    <col min="2" max="2" width="24" style="13" customWidth="1"/>
    <col min="3" max="3" width="26.25" style="13" customWidth="1"/>
    <col min="4" max="4" width="33.75" style="13" customWidth="1"/>
    <col min="5" max="5" width="11" style="13" customWidth="1"/>
    <col min="6" max="6" width="14" style="13" customWidth="1"/>
    <col min="7" max="7" width="10" style="13" customWidth="1"/>
    <col min="8" max="9" width="56" style="13" customWidth="1"/>
    <col min="10" max="10" width="9" style="13"/>
    <col min="11" max="11" width="45" style="13" customWidth="1"/>
    <col min="12" max="16384" width="9" style="13"/>
  </cols>
  <sheetData>
    <row r="1" spans="1:13" ht="33.950000000000003" customHeight="1" x14ac:dyDescent="0.25">
      <c r="B1" s="639" t="s">
        <v>0</v>
      </c>
      <c r="C1" s="640"/>
      <c r="D1" s="640"/>
      <c r="E1" s="640"/>
      <c r="F1" s="640"/>
      <c r="G1" s="640"/>
      <c r="H1" s="561"/>
      <c r="I1" s="562" t="s">
        <v>1725</v>
      </c>
      <c r="J1" s="560" t="s">
        <v>1723</v>
      </c>
      <c r="M1"/>
    </row>
    <row r="2" spans="1:13" ht="33.950000000000003" customHeight="1" x14ac:dyDescent="0.25">
      <c r="A2" s="41"/>
      <c r="B2" s="646" t="s">
        <v>1</v>
      </c>
      <c r="C2" s="647"/>
      <c r="D2" s="647"/>
      <c r="E2" s="647"/>
      <c r="F2" s="647"/>
      <c r="G2" s="647"/>
      <c r="H2" s="647"/>
      <c r="I2" s="648"/>
      <c r="M2"/>
    </row>
    <row r="3" spans="1:13" ht="30.75" customHeight="1" x14ac:dyDescent="0.25">
      <c r="A3" s="1"/>
      <c r="B3" s="572" t="s">
        <v>2</v>
      </c>
      <c r="C3" s="578">
        <v>150</v>
      </c>
      <c r="D3" s="580" t="s">
        <v>3</v>
      </c>
      <c r="E3" s="580"/>
      <c r="F3" s="580"/>
      <c r="G3" s="577" t="s">
        <v>4</v>
      </c>
      <c r="H3" s="579" t="s">
        <v>1717</v>
      </c>
      <c r="I3" s="39"/>
      <c r="K3" s="42" t="s">
        <v>5</v>
      </c>
      <c r="M3"/>
    </row>
    <row r="4" spans="1:13" ht="24.95" customHeight="1" x14ac:dyDescent="0.25">
      <c r="A4" s="1"/>
      <c r="B4" s="649" t="s">
        <v>6</v>
      </c>
      <c r="C4" s="650" t="str">
        <f>IF($C$3="","",INDEX(Questions_150!$D$3:$D$450,MATCH($C$3,Questions_150!$A$3:$A$450,0)))</f>
        <v>Proposez un plan d’amélioration pour rendre une recette au tofu plus acceptable auprès d’un public non habitué.</v>
      </c>
      <c r="D4" s="650"/>
      <c r="E4" s="650"/>
      <c r="F4" s="651"/>
      <c r="G4" s="576" t="s">
        <v>7</v>
      </c>
      <c r="H4" s="27"/>
      <c r="I4" s="28"/>
      <c r="K4" s="43">
        <f>IFERROR(IF($C$3&lt;&gt;"",$C$3,INDEX(Questions_150!$A$3:$A$450,MATCH($C$4,Questions_150!$D$3:$D$450,0))),"")</f>
        <v>150</v>
      </c>
      <c r="M4"/>
    </row>
    <row r="5" spans="1:13" ht="24.95" customHeight="1" x14ac:dyDescent="0.25">
      <c r="A5" s="1"/>
      <c r="B5" s="649"/>
      <c r="C5" s="650"/>
      <c r="D5" s="650"/>
      <c r="E5" s="650"/>
      <c r="F5" s="651"/>
      <c r="G5" s="652" t="str">
        <f>IF(OR(G3="",$K$4=""),"",IFERROR(INDEX(Questions_150!$M$3:$M$450,MATCH($K$4,Questions_150!$A$3:$A$450,0)),""))</f>
        <v>Réponse solide attendue : Allergène soja ; Sources de protéines végétales ; Argumentation / justification ; Plat complet / composition ; Contexte restauration collective. La réponse doit rester concrète, reliée à la restauration collective et justifiée par au moins un exemple.</v>
      </c>
      <c r="H5" s="653"/>
      <c r="I5" s="654"/>
      <c r="K5" s="44"/>
      <c r="M5"/>
    </row>
    <row r="6" spans="1:13" ht="24.95" customHeight="1" x14ac:dyDescent="0.25">
      <c r="A6" s="1"/>
      <c r="B6" s="649"/>
      <c r="C6" s="650"/>
      <c r="D6" s="650"/>
      <c r="E6" s="650"/>
      <c r="F6" s="651"/>
      <c r="G6" s="652"/>
      <c r="H6" s="653"/>
      <c r="I6" s="654"/>
      <c r="K6" s="44"/>
      <c r="M6"/>
    </row>
    <row r="7" spans="1:13" ht="24.95" customHeight="1" x14ac:dyDescent="0.25">
      <c r="A7" s="1"/>
      <c r="B7" s="571" t="s">
        <v>8</v>
      </c>
      <c r="C7" s="569" t="str">
        <f>IF($K$4="","",INDEX(Questions_150!$B$3:$B$450,MATCH($K$4,Questions_150!$A$3:$A$450,0)))</f>
        <v xml:space="preserve">Professionnel  </v>
      </c>
      <c r="D7" s="641" t="str">
        <f>IF($K$4="","Question non reconnue : vérifier Questions_150 colonne A et les critères en colonne Y.","Question reconnue par le moteur.")</f>
        <v>Question reconnue par le moteur.</v>
      </c>
      <c r="E7" s="641"/>
      <c r="F7" s="642"/>
      <c r="G7" s="45" t="s">
        <v>9</v>
      </c>
      <c r="H7" s="46"/>
      <c r="I7" s="47"/>
      <c r="K7" s="44"/>
      <c r="M7"/>
    </row>
    <row r="8" spans="1:13" ht="24.95" customHeight="1" x14ac:dyDescent="0.25">
      <c r="A8" s="1"/>
      <c r="B8" s="571" t="s">
        <v>10</v>
      </c>
      <c r="C8" s="569" t="str">
        <f>IF($K$4="","",INDEX(Questions_150!$C$3:$C$450,MATCH($K$4,Questions_150!$A$3:$A$450,0)))</f>
        <v>Tofu</v>
      </c>
      <c r="D8" s="641"/>
      <c r="E8" s="641"/>
      <c r="F8" s="642"/>
      <c r="G8" s="643" t="str">
        <f>IF(OR(G3="",$K$4=""),"",IFERROR(INDEX(Questions_150!$T$3:$T$450,MATCH($K$4,Questions_150!$S$3:$S$450,0)),""))</f>
        <v>Le tofu est une source de protéine végétale issue du soja. Il doit être signalé comme allergène soja. Pour être accepté, il faut le mariner, l’assaisonner ou l’intégrer dans une recette connue avec sauce, légumes et céréales, car nature il peut sembler fade.</v>
      </c>
      <c r="H8" s="644"/>
      <c r="I8" s="645"/>
      <c r="K8" s="44"/>
      <c r="M8"/>
    </row>
    <row r="9" spans="1:13" ht="24.95" customHeight="1" x14ac:dyDescent="0.25">
      <c r="A9" s="1"/>
      <c r="B9" s="573" t="s">
        <v>11</v>
      </c>
      <c r="C9" s="574"/>
      <c r="D9" s="574"/>
      <c r="E9" s="574"/>
      <c r="F9" s="575"/>
      <c r="G9" s="643"/>
      <c r="H9" s="644"/>
      <c r="I9" s="645"/>
      <c r="K9" s="48" t="s">
        <v>12</v>
      </c>
      <c r="M9"/>
    </row>
    <row r="10" spans="1:13" ht="24.95" customHeight="1" x14ac:dyDescent="0.25">
      <c r="A10" s="1"/>
      <c r="B10" s="659" t="s">
        <v>1724</v>
      </c>
      <c r="C10" s="660"/>
      <c r="D10" s="660"/>
      <c r="E10" s="660"/>
      <c r="F10" s="661"/>
      <c r="G10" s="570" t="s">
        <v>14</v>
      </c>
      <c r="H10" s="49"/>
      <c r="I10" s="50"/>
      <c r="K10" s="665" t="str">
        <f>IF(B10="","",LOWER(SUBSTITUTE(SUBSTITUTE(SUBSTITUTE(SUBSTITUTE(SUBSTITUTE(SUBSTITUTE(SUBSTITUTE(SUBSTITUTE(SUBSTITUTE(SUBSTITUTE(SUBSTITUTE(SUBSTITUTE(SUBSTITUTE(SUBSTITUTE(SUBSTITUTE(SUBSTITUTE(SUBSTITUTE(SUBSTITUTE(SUBSTITUTE(SUBSTITUTE(SUBSTITUTE(B10,CHAR(160)," "),"’"," "),CHAR(39)," "),"."," "),","," "),";"," "),":"," "),"/"," "),"-"," "),"("," "),")"," "),"é","e"),"è","e"),"ê","e"),"ë","e"),"à","a"),"â","a"),"ù","u"),"û","u"),"ô","o"),"œ","oe")))</f>
        <v>il y a du soja dans le tofu tout le monde n aime pas ça alors je le sert avec une sauce tomate _ vous etes libre de votre texte</v>
      </c>
      <c r="M10"/>
    </row>
    <row r="11" spans="1:13" ht="24.95" customHeight="1" x14ac:dyDescent="0.25">
      <c r="A11" s="1"/>
      <c r="B11" s="659"/>
      <c r="C11" s="660"/>
      <c r="D11" s="660"/>
      <c r="E11" s="660"/>
      <c r="F11" s="661"/>
      <c r="G11" s="667" t="str">
        <f>IF(OR(G3="",$K$4=""),"",IFERROR(INDEX(Questions_150!$AB$3:$AB$450,MATCH($K$4,Questions_150!$AA$3:$AA$450,0)),""))</f>
        <v>Le tofu contient du soja, donc l’allergène soja doit être affiché. Pour qu’il soit mieux accepté, je l’intègre dans un plat complet avec légumineuse, céréale, légume et sauce, en pensant au goût et aux convives.</v>
      </c>
      <c r="H11" s="667"/>
      <c r="I11" s="668"/>
      <c r="K11" s="665"/>
    </row>
    <row r="12" spans="1:13" ht="24.95" customHeight="1" thickBot="1" x14ac:dyDescent="0.3">
      <c r="A12" s="1"/>
      <c r="B12" s="662"/>
      <c r="C12" s="663"/>
      <c r="D12" s="663"/>
      <c r="E12" s="663"/>
      <c r="F12" s="664"/>
      <c r="G12" s="669"/>
      <c r="H12" s="669"/>
      <c r="I12" s="670"/>
      <c r="K12" s="665"/>
    </row>
    <row r="13" spans="1:13" ht="15.75" x14ac:dyDescent="0.25">
      <c r="A13" s="1"/>
      <c r="B13" s="25">
        <f t="shared" ref="B13:I13" ca="1" si="0">INDEX(CELL("largeur",B13),1,1)</f>
        <v>23</v>
      </c>
      <c r="C13" s="25">
        <f t="shared" ca="1" si="0"/>
        <v>26</v>
      </c>
      <c r="D13" s="25">
        <f t="shared" ca="1" si="0"/>
        <v>33</v>
      </c>
      <c r="E13" s="25">
        <f t="shared" ca="1" si="0"/>
        <v>10</v>
      </c>
      <c r="F13" s="25">
        <f t="shared" ca="1" si="0"/>
        <v>13</v>
      </c>
      <c r="G13" s="25">
        <f t="shared" ca="1" si="0"/>
        <v>9</v>
      </c>
      <c r="H13" s="25">
        <f t="shared" ca="1" si="0"/>
        <v>55</v>
      </c>
      <c r="I13" s="25">
        <f t="shared" ca="1" si="0"/>
        <v>55</v>
      </c>
      <c r="K13" s="666"/>
    </row>
    <row r="14" spans="1:13" ht="24.75" customHeight="1" x14ac:dyDescent="0.25">
      <c r="A14" s="1"/>
      <c r="B14" s="555" t="s">
        <v>4</v>
      </c>
      <c r="C14" s="554" t="s">
        <v>1716</v>
      </c>
      <c r="D14" s="51" t="s">
        <v>17</v>
      </c>
      <c r="E14" s="51" t="s">
        <v>18</v>
      </c>
      <c r="F14" s="51" t="s">
        <v>19</v>
      </c>
      <c r="G14" s="51" t="s">
        <v>20</v>
      </c>
      <c r="H14" s="51" t="s">
        <v>21</v>
      </c>
      <c r="I14" s="52" t="s">
        <v>22</v>
      </c>
    </row>
    <row r="15" spans="1:13" ht="44.1" customHeight="1" x14ac:dyDescent="0.25">
      <c r="A15" s="1"/>
      <c r="B15" s="53">
        <v>1</v>
      </c>
      <c r="C15" s="10" t="str">
        <f>IF(OR($B$14&lt;&gt;"x",$K$4=""),"",IFERROR(TRIM(MID(SUBSTITUTE(SUBSTITUTE(SUBSTITUTE(INDEX(Questions_150!$Y$3:$Y$450,MATCH($K$4,Questions_150!$A$3:$A$450,0))," ; ","|"),"; ","|"),"|",REPT(" ",120)),(ROW()-15)*120+1,120)),""))</f>
        <v>ALLERGENE_SOJA</v>
      </c>
      <c r="D15" s="10" t="str">
        <f>IF($C15="","",INDEX(Dictionnaire_criteres!$B$2:$B$80,MATCH($C15,Dictionnaire_criteres!$A$2:$A$80,0)))</f>
        <v>Allergène soja</v>
      </c>
      <c r="E15" s="54">
        <f>IF($C15="","",INDEX(Dictionnaire_criteres!$C$2:$C$80,MATCH($C15,Dictionnaire_criteres!$A$2:$A$80,0)))</f>
        <v>4</v>
      </c>
      <c r="F15" s="10" t="str">
        <f>IF($C15="","",IF($K$10="","",IF(OR(AND(INDEX(Dictionnaire_criteres!$F$2:$X$80,MATCH($C15,Dictionnaire_criteres!$A$2:$A$80,0),1)&lt;&gt;"",ISNUMBER(SEARCH(INDEX(Dictionnaire_criteres!$F$2:$X$80,MATCH($C15,Dictionnaire_criteres!$A$2:$A$80,0),1),$K$10))),AND(INDEX(Dictionnaire_criteres!$F$2:$X$80,MATCH($C15,Dictionnaire_criteres!$A$2:$A$80,0),2)&lt;&gt;"",ISNUMBER(SEARCH(INDEX(Dictionnaire_criteres!$F$2:$X$80,MATCH($C15,Dictionnaire_criteres!$A$2:$A$80,0),2),$K$10))),AND(INDEX(Dictionnaire_criteres!$F$2:$X$80,MATCH($C15,Dictionnaire_criteres!$A$2:$A$80,0),3)&lt;&gt;"",ISNUMBER(SEARCH(INDEX(Dictionnaire_criteres!$F$2:$X$80,MATCH($C15,Dictionnaire_criteres!$A$2:$A$80,0),3),$K$10))),AND(INDEX(Dictionnaire_criteres!$F$2:$X$80,MATCH($C15,Dictionnaire_criteres!$A$2:$A$80,0),4)&lt;&gt;"",ISNUMBER(SEARCH(INDEX(Dictionnaire_criteres!$F$2:$X$80,MATCH($C15,Dictionnaire_criteres!$A$2:$A$80,0),4),$K$10))),AND(INDEX(Dictionnaire_criteres!$F$2:$X$80,MATCH($C15,Dictionnaire_criteres!$A$2:$A$80,0),5)&lt;&gt;"",ISNUMBER(SEARCH(INDEX(Dictionnaire_criteres!$F$2:$X$80,MATCH($C15,Dictionnaire_criteres!$A$2:$A$80,0),5),$K$10))),AND(INDEX(Dictionnaire_criteres!$F$2:$X$80,MATCH($C15,Dictionnaire_criteres!$A$2:$A$80,0),6)&lt;&gt;"",ISNUMBER(SEARCH(INDEX(Dictionnaire_criteres!$F$2:$X$80,MATCH($C15,Dictionnaire_criteres!$A$2:$A$80,0),6),$K$10))),AND(INDEX(Dictionnaire_criteres!$F$2:$X$80,MATCH($C15,Dictionnaire_criteres!$A$2:$A$80,0),7)&lt;&gt;"",ISNUMBER(SEARCH(INDEX(Dictionnaire_criteres!$F$2:$X$80,MATCH($C15,Dictionnaire_criteres!$A$2:$A$80,0),7),$K$10))),AND(INDEX(Dictionnaire_criteres!$F$2:$X$80,MATCH($C15,Dictionnaire_criteres!$A$2:$A$80,0),8)&lt;&gt;"",ISNUMBER(SEARCH(INDEX(Dictionnaire_criteres!$F$2:$X$80,MATCH($C15,Dictionnaire_criteres!$A$2:$A$80,0),8),$K$10))),AND(INDEX(Dictionnaire_criteres!$F$2:$X$80,MATCH($C15,Dictionnaire_criteres!$A$2:$A$80,0),9)&lt;&gt;"",ISNUMBER(SEARCH(INDEX(Dictionnaire_criteres!$F$2:$X$80,MATCH($C15,Dictionnaire_criteres!$A$2:$A$80,0),9),$K$10))),AND(INDEX(Dictionnaire_criteres!$F$2:$X$80,MATCH($C15,Dictionnaire_criteres!$A$2:$A$80,0),10)&lt;&gt;"",ISNUMBER(SEARCH(INDEX(Dictionnaire_criteres!$F$2:$X$80,MATCH($C15,Dictionnaire_criteres!$A$2:$A$80,0),10),$K$10))),AND(INDEX(Dictionnaire_criteres!$F$2:$X$80,MATCH($C15,Dictionnaire_criteres!$A$2:$A$80,0),11)&lt;&gt;"",ISNUMBER(SEARCH(INDEX(Dictionnaire_criteres!$F$2:$X$80,MATCH($C15,Dictionnaire_criteres!$A$2:$A$80,0),11),$K$10))),AND(INDEX(Dictionnaire_criteres!$F$2:$X$80,MATCH($C15,Dictionnaire_criteres!$A$2:$A$80,0),12)&lt;&gt;"",ISNUMBER(SEARCH(INDEX(Dictionnaire_criteres!$F$2:$X$80,MATCH($C15,Dictionnaire_criteres!$A$2:$A$80,0),12),$K$10))),AND(INDEX(Dictionnaire_criteres!$F$2:$X$80,MATCH($C15,Dictionnaire_criteres!$A$2:$A$80,0),13)&lt;&gt;"",ISNUMBER(SEARCH(INDEX(Dictionnaire_criteres!$F$2:$X$80,MATCH($C15,Dictionnaire_criteres!$A$2:$A$80,0),13),$K$10))),AND(INDEX(Dictionnaire_criteres!$F$2:$X$80,MATCH($C15,Dictionnaire_criteres!$A$2:$A$80,0),14)&lt;&gt;"",ISNUMBER(SEARCH(INDEX(Dictionnaire_criteres!$F$2:$X$80,MATCH($C15,Dictionnaire_criteres!$A$2:$A$80,0),14),$K$10))),AND(INDEX(Dictionnaire_criteres!$F$2:$X$80,MATCH($C15,Dictionnaire_criteres!$A$2:$A$80,0),15)&lt;&gt;"",ISNUMBER(SEARCH(INDEX(Dictionnaire_criteres!$F$2:$X$80,MATCH($C15,Dictionnaire_criteres!$A$2:$A$80,0),15),$K$10))),AND(INDEX(Dictionnaire_criteres!$F$2:$X$80,MATCH($C15,Dictionnaire_criteres!$A$2:$A$80,0),16)&lt;&gt;"",ISNUMBER(SEARCH(INDEX(Dictionnaire_criteres!$F$2:$X$80,MATCH($C15,Dictionnaire_criteres!$A$2:$A$80,0),16),$K$10))),AND(INDEX(Dictionnaire_criteres!$F$2:$X$80,MATCH($C15,Dictionnaire_criteres!$A$2:$A$80,0),17)&lt;&gt;"",ISNUMBER(SEARCH(INDEX(Dictionnaire_criteres!$F$2:$X$80,MATCH($C15,Dictionnaire_criteres!$A$2:$A$80,0),17),$K$10))),AND(INDEX(Dictionnaire_criteres!$F$2:$X$80,MATCH($C15,Dictionnaire_criteres!$A$2:$A$80,0),18)&lt;&gt;"",ISNUMBER(SEARCH(INDEX(Dictionnaire_criteres!$F$2:$X$80,MATCH($C15,Dictionnaire_criteres!$A$2:$A$80,0),18),$K$10))),AND(INDEX(Dictionnaire_criteres!$F$2:$X$80,MATCH($C15,Dictionnaire_criteres!$A$2:$A$80,0),19)&lt;&gt;"",ISNUMBER(SEARCH(INDEX(Dictionnaire_criteres!$F$2:$X$80,MATCH($C15,Dictionnaire_criteres!$A$2:$A$80,0),19),$K$10)))),"OK","À compléter")))</f>
        <v>OK</v>
      </c>
      <c r="G15" s="10">
        <f>IF(F15="OK",E15,0)</f>
        <v>4</v>
      </c>
      <c r="H15" s="55" t="str">
        <f>IF($C15="","",INDEX(Dictionnaire_criteres!$D$2:$D$80,MATCH($C15,Dictionnaire_criteres!$A$2:$A$80,0)))</f>
        <v>La réponse identifie le soja/tofu/PST comme allergène à contrôler.</v>
      </c>
      <c r="I15" s="56" t="str">
        <f>IF($C15="","",INDEX(Dictionnaire_criteres!$E$2:$E$80,MATCH($C15,Dictionnaire_criteres!$A$2:$A$80,0)))</f>
        <v>Exiger affichage allergène, recette claire et alternative si besoin.</v>
      </c>
    </row>
    <row r="16" spans="1:13" ht="44.1" customHeight="1" x14ac:dyDescent="0.25">
      <c r="A16" s="1"/>
      <c r="B16" s="57">
        <v>2</v>
      </c>
      <c r="C16" s="11" t="str">
        <f>IF(OR($B$14&lt;&gt;"x",$K$4=""),"",IFERROR(TRIM(MID(SUBSTITUTE(SUBSTITUTE(SUBSTITUTE(INDEX(Questions_150!$Y$3:$Y$450,MATCH($K$4,Questions_150!$A$3:$A$450,0))," ; ","|"),"; ","|"),"|",REPT(" ",120)),(ROW()-15)*120+1,120)),""))</f>
        <v>SOURCE_PROTEINES</v>
      </c>
      <c r="D16" s="11" t="str">
        <f>IF($C16="","",INDEX(Dictionnaire_criteres!$B$2:$B$80,MATCH($C16,Dictionnaire_criteres!$A$2:$A$80,0)))</f>
        <v>Sources de protéines végétales</v>
      </c>
      <c r="E16" s="58">
        <f>IF($C16="","",INDEX(Dictionnaire_criteres!$C$2:$C$80,MATCH($C16,Dictionnaire_criteres!$A$2:$A$80,0)))</f>
        <v>4</v>
      </c>
      <c r="F16" s="11" t="str">
        <f>IF($C16="","",IF($K$10="","",IF(OR(AND(INDEX(Dictionnaire_criteres!$F$2:$X$80,MATCH($C16,Dictionnaire_criteres!$A$2:$A$80,0),1)&lt;&gt;"",ISNUMBER(SEARCH(INDEX(Dictionnaire_criteres!$F$2:$X$80,MATCH($C16,Dictionnaire_criteres!$A$2:$A$80,0),1),$K$10))),AND(INDEX(Dictionnaire_criteres!$F$2:$X$80,MATCH($C16,Dictionnaire_criteres!$A$2:$A$80,0),2)&lt;&gt;"",ISNUMBER(SEARCH(INDEX(Dictionnaire_criteres!$F$2:$X$80,MATCH($C16,Dictionnaire_criteres!$A$2:$A$80,0),2),$K$10))),AND(INDEX(Dictionnaire_criteres!$F$2:$X$80,MATCH($C16,Dictionnaire_criteres!$A$2:$A$80,0),3)&lt;&gt;"",ISNUMBER(SEARCH(INDEX(Dictionnaire_criteres!$F$2:$X$80,MATCH($C16,Dictionnaire_criteres!$A$2:$A$80,0),3),$K$10))),AND(INDEX(Dictionnaire_criteres!$F$2:$X$80,MATCH($C16,Dictionnaire_criteres!$A$2:$A$80,0),4)&lt;&gt;"",ISNUMBER(SEARCH(INDEX(Dictionnaire_criteres!$F$2:$X$80,MATCH($C16,Dictionnaire_criteres!$A$2:$A$80,0),4),$K$10))),AND(INDEX(Dictionnaire_criteres!$F$2:$X$80,MATCH($C16,Dictionnaire_criteres!$A$2:$A$80,0),5)&lt;&gt;"",ISNUMBER(SEARCH(INDEX(Dictionnaire_criteres!$F$2:$X$80,MATCH($C16,Dictionnaire_criteres!$A$2:$A$80,0),5),$K$10))),AND(INDEX(Dictionnaire_criteres!$F$2:$X$80,MATCH($C16,Dictionnaire_criteres!$A$2:$A$80,0),6)&lt;&gt;"",ISNUMBER(SEARCH(INDEX(Dictionnaire_criteres!$F$2:$X$80,MATCH($C16,Dictionnaire_criteres!$A$2:$A$80,0),6),$K$10))),AND(INDEX(Dictionnaire_criteres!$F$2:$X$80,MATCH($C16,Dictionnaire_criteres!$A$2:$A$80,0),7)&lt;&gt;"",ISNUMBER(SEARCH(INDEX(Dictionnaire_criteres!$F$2:$X$80,MATCH($C16,Dictionnaire_criteres!$A$2:$A$80,0),7),$K$10))),AND(INDEX(Dictionnaire_criteres!$F$2:$X$80,MATCH($C16,Dictionnaire_criteres!$A$2:$A$80,0),8)&lt;&gt;"",ISNUMBER(SEARCH(INDEX(Dictionnaire_criteres!$F$2:$X$80,MATCH($C16,Dictionnaire_criteres!$A$2:$A$80,0),8),$K$10))),AND(INDEX(Dictionnaire_criteres!$F$2:$X$80,MATCH($C16,Dictionnaire_criteres!$A$2:$A$80,0),9)&lt;&gt;"",ISNUMBER(SEARCH(INDEX(Dictionnaire_criteres!$F$2:$X$80,MATCH($C16,Dictionnaire_criteres!$A$2:$A$80,0),9),$K$10))),AND(INDEX(Dictionnaire_criteres!$F$2:$X$80,MATCH($C16,Dictionnaire_criteres!$A$2:$A$80,0),10)&lt;&gt;"",ISNUMBER(SEARCH(INDEX(Dictionnaire_criteres!$F$2:$X$80,MATCH($C16,Dictionnaire_criteres!$A$2:$A$80,0),10),$K$10))),AND(INDEX(Dictionnaire_criteres!$F$2:$X$80,MATCH($C16,Dictionnaire_criteres!$A$2:$A$80,0),11)&lt;&gt;"",ISNUMBER(SEARCH(INDEX(Dictionnaire_criteres!$F$2:$X$80,MATCH($C16,Dictionnaire_criteres!$A$2:$A$80,0),11),$K$10))),AND(INDEX(Dictionnaire_criteres!$F$2:$X$80,MATCH($C16,Dictionnaire_criteres!$A$2:$A$80,0),12)&lt;&gt;"",ISNUMBER(SEARCH(INDEX(Dictionnaire_criteres!$F$2:$X$80,MATCH($C16,Dictionnaire_criteres!$A$2:$A$80,0),12),$K$10))),AND(INDEX(Dictionnaire_criteres!$F$2:$X$80,MATCH($C16,Dictionnaire_criteres!$A$2:$A$80,0),13)&lt;&gt;"",ISNUMBER(SEARCH(INDEX(Dictionnaire_criteres!$F$2:$X$80,MATCH($C16,Dictionnaire_criteres!$A$2:$A$80,0),13),$K$10))),AND(INDEX(Dictionnaire_criteres!$F$2:$X$80,MATCH($C16,Dictionnaire_criteres!$A$2:$A$80,0),14)&lt;&gt;"",ISNUMBER(SEARCH(INDEX(Dictionnaire_criteres!$F$2:$X$80,MATCH($C16,Dictionnaire_criteres!$A$2:$A$80,0),14),$K$10))),AND(INDEX(Dictionnaire_criteres!$F$2:$X$80,MATCH($C16,Dictionnaire_criteres!$A$2:$A$80,0),15)&lt;&gt;"",ISNUMBER(SEARCH(INDEX(Dictionnaire_criteres!$F$2:$X$80,MATCH($C16,Dictionnaire_criteres!$A$2:$A$80,0),15),$K$10))),AND(INDEX(Dictionnaire_criteres!$F$2:$X$80,MATCH($C16,Dictionnaire_criteres!$A$2:$A$80,0),16)&lt;&gt;"",ISNUMBER(SEARCH(INDEX(Dictionnaire_criteres!$F$2:$X$80,MATCH($C16,Dictionnaire_criteres!$A$2:$A$80,0),16),$K$10))),AND(INDEX(Dictionnaire_criteres!$F$2:$X$80,MATCH($C16,Dictionnaire_criteres!$A$2:$A$80,0),17)&lt;&gt;"",ISNUMBER(SEARCH(INDEX(Dictionnaire_criteres!$F$2:$X$80,MATCH($C16,Dictionnaire_criteres!$A$2:$A$80,0),17),$K$10))),AND(INDEX(Dictionnaire_criteres!$F$2:$X$80,MATCH($C16,Dictionnaire_criteres!$A$2:$A$80,0),18)&lt;&gt;"",ISNUMBER(SEARCH(INDEX(Dictionnaire_criteres!$F$2:$X$80,MATCH($C16,Dictionnaire_criteres!$A$2:$A$80,0),18),$K$10))),AND(INDEX(Dictionnaire_criteres!$F$2:$X$80,MATCH($C16,Dictionnaire_criteres!$A$2:$A$80,0),19)&lt;&gt;"",ISNUMBER(SEARCH(INDEX(Dictionnaire_criteres!$F$2:$X$80,MATCH($C16,Dictionnaire_criteres!$A$2:$A$80,0),19),$K$10)))),"OK","À compléter")))</f>
        <v>OK</v>
      </c>
      <c r="G16" s="11">
        <f>IF(F16="OK",E16,0)</f>
        <v>4</v>
      </c>
      <c r="H16" s="59" t="str">
        <f>IF($C16="","",INDEX(Dictionnaire_criteres!$D$2:$D$80,MATCH($C16,Dictionnaire_criteres!$A$2:$A$80,0)))</f>
        <v>La réponse identifie des sources végétales utilisables en cuisine.</v>
      </c>
      <c r="I16" s="60" t="str">
        <f>IF($C16="","",INDEX(Dictionnaire_criteres!$E$2:$E$80,MATCH($C16,Dictionnaire_criteres!$A$2:$A$80,0)))</f>
        <v>Faire citer des sources précises : lentilles, pois chiches, haricots, pois cassés, tofu, tempeh, seitan, lupin.</v>
      </c>
    </row>
    <row r="17" spans="1:9" ht="44.1" customHeight="1" x14ac:dyDescent="0.25">
      <c r="A17" s="1"/>
      <c r="B17" s="57">
        <v>3</v>
      </c>
      <c r="C17" s="11" t="str">
        <f>IF(OR($B$14&lt;&gt;"x",$K$4=""),"",IFERROR(TRIM(MID(SUBSTITUTE(SUBSTITUTE(SUBSTITUTE(INDEX(Questions_150!$Y$3:$Y$450,MATCH($K$4,Questions_150!$A$3:$A$450,0))," ; ","|"),"; ","|"),"|",REPT(" ",120)),(ROW()-15)*120+1,120)),""))</f>
        <v>ARGUMENTATION</v>
      </c>
      <c r="D17" s="11" t="str">
        <f>IF($C17="","",INDEX(Dictionnaire_criteres!$B$2:$B$80,MATCH($C17,Dictionnaire_criteres!$A$2:$A$80,0)))</f>
        <v>Argumentation / justification</v>
      </c>
      <c r="E17" s="58">
        <f>IF($C17="","",INDEX(Dictionnaire_criteres!$C$2:$C$80,MATCH($C17,Dictionnaire_criteres!$A$2:$A$80,0)))</f>
        <v>4</v>
      </c>
      <c r="F17" s="11" t="str">
        <f>IF($C17="","",IF($K$10="","",IF(OR(AND(INDEX(Dictionnaire_criteres!$F$2:$X$80,MATCH($C17,Dictionnaire_criteres!$A$2:$A$80,0),1)&lt;&gt;"",ISNUMBER(SEARCH(INDEX(Dictionnaire_criteres!$F$2:$X$80,MATCH($C17,Dictionnaire_criteres!$A$2:$A$80,0),1),$K$10))),AND(INDEX(Dictionnaire_criteres!$F$2:$X$80,MATCH($C17,Dictionnaire_criteres!$A$2:$A$80,0),2)&lt;&gt;"",ISNUMBER(SEARCH(INDEX(Dictionnaire_criteres!$F$2:$X$80,MATCH($C17,Dictionnaire_criteres!$A$2:$A$80,0),2),$K$10))),AND(INDEX(Dictionnaire_criteres!$F$2:$X$80,MATCH($C17,Dictionnaire_criteres!$A$2:$A$80,0),3)&lt;&gt;"",ISNUMBER(SEARCH(INDEX(Dictionnaire_criteres!$F$2:$X$80,MATCH($C17,Dictionnaire_criteres!$A$2:$A$80,0),3),$K$10))),AND(INDEX(Dictionnaire_criteres!$F$2:$X$80,MATCH($C17,Dictionnaire_criteres!$A$2:$A$80,0),4)&lt;&gt;"",ISNUMBER(SEARCH(INDEX(Dictionnaire_criteres!$F$2:$X$80,MATCH($C17,Dictionnaire_criteres!$A$2:$A$80,0),4),$K$10))),AND(INDEX(Dictionnaire_criteres!$F$2:$X$80,MATCH($C17,Dictionnaire_criteres!$A$2:$A$80,0),5)&lt;&gt;"",ISNUMBER(SEARCH(INDEX(Dictionnaire_criteres!$F$2:$X$80,MATCH($C17,Dictionnaire_criteres!$A$2:$A$80,0),5),$K$10))),AND(INDEX(Dictionnaire_criteres!$F$2:$X$80,MATCH($C17,Dictionnaire_criteres!$A$2:$A$80,0),6)&lt;&gt;"",ISNUMBER(SEARCH(INDEX(Dictionnaire_criteres!$F$2:$X$80,MATCH($C17,Dictionnaire_criteres!$A$2:$A$80,0),6),$K$10))),AND(INDEX(Dictionnaire_criteres!$F$2:$X$80,MATCH($C17,Dictionnaire_criteres!$A$2:$A$80,0),7)&lt;&gt;"",ISNUMBER(SEARCH(INDEX(Dictionnaire_criteres!$F$2:$X$80,MATCH($C17,Dictionnaire_criteres!$A$2:$A$80,0),7),$K$10))),AND(INDEX(Dictionnaire_criteres!$F$2:$X$80,MATCH($C17,Dictionnaire_criteres!$A$2:$A$80,0),8)&lt;&gt;"",ISNUMBER(SEARCH(INDEX(Dictionnaire_criteres!$F$2:$X$80,MATCH($C17,Dictionnaire_criteres!$A$2:$A$80,0),8),$K$10))),AND(INDEX(Dictionnaire_criteres!$F$2:$X$80,MATCH($C17,Dictionnaire_criteres!$A$2:$A$80,0),9)&lt;&gt;"",ISNUMBER(SEARCH(INDEX(Dictionnaire_criteres!$F$2:$X$80,MATCH($C17,Dictionnaire_criteres!$A$2:$A$80,0),9),$K$10))),AND(INDEX(Dictionnaire_criteres!$F$2:$X$80,MATCH($C17,Dictionnaire_criteres!$A$2:$A$80,0),10)&lt;&gt;"",ISNUMBER(SEARCH(INDEX(Dictionnaire_criteres!$F$2:$X$80,MATCH($C17,Dictionnaire_criteres!$A$2:$A$80,0),10),$K$10))),AND(INDEX(Dictionnaire_criteres!$F$2:$X$80,MATCH($C17,Dictionnaire_criteres!$A$2:$A$80,0),11)&lt;&gt;"",ISNUMBER(SEARCH(INDEX(Dictionnaire_criteres!$F$2:$X$80,MATCH($C17,Dictionnaire_criteres!$A$2:$A$80,0),11),$K$10))),AND(INDEX(Dictionnaire_criteres!$F$2:$X$80,MATCH($C17,Dictionnaire_criteres!$A$2:$A$80,0),12)&lt;&gt;"",ISNUMBER(SEARCH(INDEX(Dictionnaire_criteres!$F$2:$X$80,MATCH($C17,Dictionnaire_criteres!$A$2:$A$80,0),12),$K$10))),AND(INDEX(Dictionnaire_criteres!$F$2:$X$80,MATCH($C17,Dictionnaire_criteres!$A$2:$A$80,0),13)&lt;&gt;"",ISNUMBER(SEARCH(INDEX(Dictionnaire_criteres!$F$2:$X$80,MATCH($C17,Dictionnaire_criteres!$A$2:$A$80,0),13),$K$10))),AND(INDEX(Dictionnaire_criteres!$F$2:$X$80,MATCH($C17,Dictionnaire_criteres!$A$2:$A$80,0),14)&lt;&gt;"",ISNUMBER(SEARCH(INDEX(Dictionnaire_criteres!$F$2:$X$80,MATCH($C17,Dictionnaire_criteres!$A$2:$A$80,0),14),$K$10))),AND(INDEX(Dictionnaire_criteres!$F$2:$X$80,MATCH($C17,Dictionnaire_criteres!$A$2:$A$80,0),15)&lt;&gt;"",ISNUMBER(SEARCH(INDEX(Dictionnaire_criteres!$F$2:$X$80,MATCH($C17,Dictionnaire_criteres!$A$2:$A$80,0),15),$K$10))),AND(INDEX(Dictionnaire_criteres!$F$2:$X$80,MATCH($C17,Dictionnaire_criteres!$A$2:$A$80,0),16)&lt;&gt;"",ISNUMBER(SEARCH(INDEX(Dictionnaire_criteres!$F$2:$X$80,MATCH($C17,Dictionnaire_criteres!$A$2:$A$80,0),16),$K$10))),AND(INDEX(Dictionnaire_criteres!$F$2:$X$80,MATCH($C17,Dictionnaire_criteres!$A$2:$A$80,0),17)&lt;&gt;"",ISNUMBER(SEARCH(INDEX(Dictionnaire_criteres!$F$2:$X$80,MATCH($C17,Dictionnaire_criteres!$A$2:$A$80,0),17),$K$10))),AND(INDEX(Dictionnaire_criteres!$F$2:$X$80,MATCH($C17,Dictionnaire_criteres!$A$2:$A$80,0),18)&lt;&gt;"",ISNUMBER(SEARCH(INDEX(Dictionnaire_criteres!$F$2:$X$80,MATCH($C17,Dictionnaire_criteres!$A$2:$A$80,0),18),$K$10))),AND(INDEX(Dictionnaire_criteres!$F$2:$X$80,MATCH($C17,Dictionnaire_criteres!$A$2:$A$80,0),19)&lt;&gt;"",ISNUMBER(SEARCH(INDEX(Dictionnaire_criteres!$F$2:$X$80,MATCH($C17,Dictionnaire_criteres!$A$2:$A$80,0),19),$K$10)))),"OK","À compléter")))</f>
        <v>À compléter</v>
      </c>
      <c r="G17" s="11">
        <f>IF(F17="OK",E17,0)</f>
        <v>0</v>
      </c>
      <c r="H17" s="59" t="str">
        <f>IF($C17="","",INDEX(Dictionnaire_criteres!$D$2:$D$80,MATCH($C17,Dictionnaire_criteres!$A$2:$A$80,0)))</f>
        <v>La réponse explique, justifie ou donne une cause/conséquence, pas seulement une liste.</v>
      </c>
      <c r="I17" s="60" t="str">
        <f>IF($C17="","",INDEX(Dictionnaire_criteres!$E$2:$E$80,MATCH($C17,Dictionnaire_criteres!$A$2:$A$80,0)))</f>
        <v>Faire préciser pourquoi, comment, dans quel contexte et avec un exemple terrain.</v>
      </c>
    </row>
    <row r="18" spans="1:9" ht="44.1" customHeight="1" x14ac:dyDescent="0.25">
      <c r="A18" s="1"/>
      <c r="B18" s="57">
        <v>4</v>
      </c>
      <c r="C18" s="11" t="str">
        <f>IF(OR($B$14&lt;&gt;"x",$K$4=""),"",IFERROR(TRIM(MID(SUBSTITUTE(SUBSTITUTE(SUBSTITUTE(INDEX(Questions_150!$Y$3:$Y$450,MATCH($K$4,Questions_150!$A$3:$A$450,0))," ; ","|"),"; ","|"),"|",REPT(" ",120)),(ROW()-15)*120+1,120)),""))</f>
        <v>PLAT_COMPLET</v>
      </c>
      <c r="D18" s="11" t="str">
        <f>IF($C18="","",INDEX(Dictionnaire_criteres!$B$2:$B$80,MATCH($C18,Dictionnaire_criteres!$A$2:$A$80,0)))</f>
        <v>Plat complet / composition</v>
      </c>
      <c r="E18" s="58">
        <f>IF($C18="","",INDEX(Dictionnaire_criteres!$C$2:$C$80,MATCH($C18,Dictionnaire_criteres!$A$2:$A$80,0)))</f>
        <v>4</v>
      </c>
      <c r="F18" s="11" t="str">
        <f>IF($C18="","",IF($K$10="","",IF(OR(AND(INDEX(Dictionnaire_criteres!$F$2:$X$80,MATCH($C18,Dictionnaire_criteres!$A$2:$A$80,0),1)&lt;&gt;"",ISNUMBER(SEARCH(INDEX(Dictionnaire_criteres!$F$2:$X$80,MATCH($C18,Dictionnaire_criteres!$A$2:$A$80,0),1),$K$10))),AND(INDEX(Dictionnaire_criteres!$F$2:$X$80,MATCH($C18,Dictionnaire_criteres!$A$2:$A$80,0),2)&lt;&gt;"",ISNUMBER(SEARCH(INDEX(Dictionnaire_criteres!$F$2:$X$80,MATCH($C18,Dictionnaire_criteres!$A$2:$A$80,0),2),$K$10))),AND(INDEX(Dictionnaire_criteres!$F$2:$X$80,MATCH($C18,Dictionnaire_criteres!$A$2:$A$80,0),3)&lt;&gt;"",ISNUMBER(SEARCH(INDEX(Dictionnaire_criteres!$F$2:$X$80,MATCH($C18,Dictionnaire_criteres!$A$2:$A$80,0),3),$K$10))),AND(INDEX(Dictionnaire_criteres!$F$2:$X$80,MATCH($C18,Dictionnaire_criteres!$A$2:$A$80,0),4)&lt;&gt;"",ISNUMBER(SEARCH(INDEX(Dictionnaire_criteres!$F$2:$X$80,MATCH($C18,Dictionnaire_criteres!$A$2:$A$80,0),4),$K$10))),AND(INDEX(Dictionnaire_criteres!$F$2:$X$80,MATCH($C18,Dictionnaire_criteres!$A$2:$A$80,0),5)&lt;&gt;"",ISNUMBER(SEARCH(INDEX(Dictionnaire_criteres!$F$2:$X$80,MATCH($C18,Dictionnaire_criteres!$A$2:$A$80,0),5),$K$10))),AND(INDEX(Dictionnaire_criteres!$F$2:$X$80,MATCH($C18,Dictionnaire_criteres!$A$2:$A$80,0),6)&lt;&gt;"",ISNUMBER(SEARCH(INDEX(Dictionnaire_criteres!$F$2:$X$80,MATCH($C18,Dictionnaire_criteres!$A$2:$A$80,0),6),$K$10))),AND(INDEX(Dictionnaire_criteres!$F$2:$X$80,MATCH($C18,Dictionnaire_criteres!$A$2:$A$80,0),7)&lt;&gt;"",ISNUMBER(SEARCH(INDEX(Dictionnaire_criteres!$F$2:$X$80,MATCH($C18,Dictionnaire_criteres!$A$2:$A$80,0),7),$K$10))),AND(INDEX(Dictionnaire_criteres!$F$2:$X$80,MATCH($C18,Dictionnaire_criteres!$A$2:$A$80,0),8)&lt;&gt;"",ISNUMBER(SEARCH(INDEX(Dictionnaire_criteres!$F$2:$X$80,MATCH($C18,Dictionnaire_criteres!$A$2:$A$80,0),8),$K$10))),AND(INDEX(Dictionnaire_criteres!$F$2:$X$80,MATCH($C18,Dictionnaire_criteres!$A$2:$A$80,0),9)&lt;&gt;"",ISNUMBER(SEARCH(INDEX(Dictionnaire_criteres!$F$2:$X$80,MATCH($C18,Dictionnaire_criteres!$A$2:$A$80,0),9),$K$10))),AND(INDEX(Dictionnaire_criteres!$F$2:$X$80,MATCH($C18,Dictionnaire_criteres!$A$2:$A$80,0),10)&lt;&gt;"",ISNUMBER(SEARCH(INDEX(Dictionnaire_criteres!$F$2:$X$80,MATCH($C18,Dictionnaire_criteres!$A$2:$A$80,0),10),$K$10))),AND(INDEX(Dictionnaire_criteres!$F$2:$X$80,MATCH($C18,Dictionnaire_criteres!$A$2:$A$80,0),11)&lt;&gt;"",ISNUMBER(SEARCH(INDEX(Dictionnaire_criteres!$F$2:$X$80,MATCH($C18,Dictionnaire_criteres!$A$2:$A$80,0),11),$K$10))),AND(INDEX(Dictionnaire_criteres!$F$2:$X$80,MATCH($C18,Dictionnaire_criteres!$A$2:$A$80,0),12)&lt;&gt;"",ISNUMBER(SEARCH(INDEX(Dictionnaire_criteres!$F$2:$X$80,MATCH($C18,Dictionnaire_criteres!$A$2:$A$80,0),12),$K$10))),AND(INDEX(Dictionnaire_criteres!$F$2:$X$80,MATCH($C18,Dictionnaire_criteres!$A$2:$A$80,0),13)&lt;&gt;"",ISNUMBER(SEARCH(INDEX(Dictionnaire_criteres!$F$2:$X$80,MATCH($C18,Dictionnaire_criteres!$A$2:$A$80,0),13),$K$10))),AND(INDEX(Dictionnaire_criteres!$F$2:$X$80,MATCH($C18,Dictionnaire_criteres!$A$2:$A$80,0),14)&lt;&gt;"",ISNUMBER(SEARCH(INDEX(Dictionnaire_criteres!$F$2:$X$80,MATCH($C18,Dictionnaire_criteres!$A$2:$A$80,0),14),$K$10))),AND(INDEX(Dictionnaire_criteres!$F$2:$X$80,MATCH($C18,Dictionnaire_criteres!$A$2:$A$80,0),15)&lt;&gt;"",ISNUMBER(SEARCH(INDEX(Dictionnaire_criteres!$F$2:$X$80,MATCH($C18,Dictionnaire_criteres!$A$2:$A$80,0),15),$K$10))),AND(INDEX(Dictionnaire_criteres!$F$2:$X$80,MATCH($C18,Dictionnaire_criteres!$A$2:$A$80,0),16)&lt;&gt;"",ISNUMBER(SEARCH(INDEX(Dictionnaire_criteres!$F$2:$X$80,MATCH($C18,Dictionnaire_criteres!$A$2:$A$80,0),16),$K$10))),AND(INDEX(Dictionnaire_criteres!$F$2:$X$80,MATCH($C18,Dictionnaire_criteres!$A$2:$A$80,0),17)&lt;&gt;"",ISNUMBER(SEARCH(INDEX(Dictionnaire_criteres!$F$2:$X$80,MATCH($C18,Dictionnaire_criteres!$A$2:$A$80,0),17),$K$10))),AND(INDEX(Dictionnaire_criteres!$F$2:$X$80,MATCH($C18,Dictionnaire_criteres!$A$2:$A$80,0),18)&lt;&gt;"",ISNUMBER(SEARCH(INDEX(Dictionnaire_criteres!$F$2:$X$80,MATCH($C18,Dictionnaire_criteres!$A$2:$A$80,0),18),$K$10))),AND(INDEX(Dictionnaire_criteres!$F$2:$X$80,MATCH($C18,Dictionnaire_criteres!$A$2:$A$80,0),19)&lt;&gt;"",ISNUMBER(SEARCH(INDEX(Dictionnaire_criteres!$F$2:$X$80,MATCH($C18,Dictionnaire_criteres!$A$2:$A$80,0),19),$K$10)))),"OK","À compléter")))</f>
        <v>OK</v>
      </c>
      <c r="G18" s="11">
        <f>IF(F18="OK",E18,0)</f>
        <v>4</v>
      </c>
      <c r="H18" s="59" t="str">
        <f>IF($C18="","",INDEX(Dictionnaire_criteres!$D$2:$D$80,MATCH($C18,Dictionnaire_criteres!$A$2:$A$80,0)))</f>
        <v>La réponse associe source protéique, céréale/féculent, légumes, sauce et équilibre du repas.</v>
      </c>
      <c r="I18" s="60" t="str">
        <f>IF($C18="","",INDEX(Dictionnaire_criteres!$E$2:$E$80,MATCH($C18,Dictionnaire_criteres!$A$2:$A$80,0)))</f>
        <v>Demander de construire une assiette complète : légumineuse + céréale/féculent + légumes + sauce.</v>
      </c>
    </row>
    <row r="19" spans="1:9" ht="44.1" customHeight="1" x14ac:dyDescent="0.25">
      <c r="A19" s="1"/>
      <c r="B19" s="61">
        <v>5</v>
      </c>
      <c r="C19" s="12" t="str">
        <f>IF(OR($B$14&lt;&gt;"x",$K$4=""),"",IFERROR(TRIM(MID(SUBSTITUTE(SUBSTITUTE(SUBSTITUTE(INDEX(Questions_150!$Y$3:$Y$450,MATCH($K$4,Questions_150!$A$3:$A$450,0))," ; ","|"),"; ","|"),"|",REPT(" ",120)),(ROW()-15)*120+1,120)),""))</f>
        <v>COLLECTIF</v>
      </c>
      <c r="D19" s="12" t="str">
        <f>IF($C19="","",INDEX(Dictionnaire_criteres!$B$2:$B$80,MATCH($C19,Dictionnaire_criteres!$A$2:$A$80,0)))</f>
        <v>Contexte restauration collective</v>
      </c>
      <c r="E19" s="62">
        <f>IF($C19="","",INDEX(Dictionnaire_criteres!$C$2:$C$80,MATCH($C19,Dictionnaire_criteres!$A$2:$A$80,0)))</f>
        <v>4</v>
      </c>
      <c r="F19" s="12" t="str">
        <f>IF($C19="","",IF($K$10="","",IF(OR(AND(INDEX(Dictionnaire_criteres!$F$2:$X$80,MATCH($C19,Dictionnaire_criteres!$A$2:$A$80,0),1)&lt;&gt;"",ISNUMBER(SEARCH(INDEX(Dictionnaire_criteres!$F$2:$X$80,MATCH($C19,Dictionnaire_criteres!$A$2:$A$80,0),1),$K$10))),AND(INDEX(Dictionnaire_criteres!$F$2:$X$80,MATCH($C19,Dictionnaire_criteres!$A$2:$A$80,0),2)&lt;&gt;"",ISNUMBER(SEARCH(INDEX(Dictionnaire_criteres!$F$2:$X$80,MATCH($C19,Dictionnaire_criteres!$A$2:$A$80,0),2),$K$10))),AND(INDEX(Dictionnaire_criteres!$F$2:$X$80,MATCH($C19,Dictionnaire_criteres!$A$2:$A$80,0),3)&lt;&gt;"",ISNUMBER(SEARCH(INDEX(Dictionnaire_criteres!$F$2:$X$80,MATCH($C19,Dictionnaire_criteres!$A$2:$A$80,0),3),$K$10))),AND(INDEX(Dictionnaire_criteres!$F$2:$X$80,MATCH($C19,Dictionnaire_criteres!$A$2:$A$80,0),4)&lt;&gt;"",ISNUMBER(SEARCH(INDEX(Dictionnaire_criteres!$F$2:$X$80,MATCH($C19,Dictionnaire_criteres!$A$2:$A$80,0),4),$K$10))),AND(INDEX(Dictionnaire_criteres!$F$2:$X$80,MATCH($C19,Dictionnaire_criteres!$A$2:$A$80,0),5)&lt;&gt;"",ISNUMBER(SEARCH(INDEX(Dictionnaire_criteres!$F$2:$X$80,MATCH($C19,Dictionnaire_criteres!$A$2:$A$80,0),5),$K$10))),AND(INDEX(Dictionnaire_criteres!$F$2:$X$80,MATCH($C19,Dictionnaire_criteres!$A$2:$A$80,0),6)&lt;&gt;"",ISNUMBER(SEARCH(INDEX(Dictionnaire_criteres!$F$2:$X$80,MATCH($C19,Dictionnaire_criteres!$A$2:$A$80,0),6),$K$10))),AND(INDEX(Dictionnaire_criteres!$F$2:$X$80,MATCH($C19,Dictionnaire_criteres!$A$2:$A$80,0),7)&lt;&gt;"",ISNUMBER(SEARCH(INDEX(Dictionnaire_criteres!$F$2:$X$80,MATCH($C19,Dictionnaire_criteres!$A$2:$A$80,0),7),$K$10))),AND(INDEX(Dictionnaire_criteres!$F$2:$X$80,MATCH($C19,Dictionnaire_criteres!$A$2:$A$80,0),8)&lt;&gt;"",ISNUMBER(SEARCH(INDEX(Dictionnaire_criteres!$F$2:$X$80,MATCH($C19,Dictionnaire_criteres!$A$2:$A$80,0),8),$K$10))),AND(INDEX(Dictionnaire_criteres!$F$2:$X$80,MATCH($C19,Dictionnaire_criteres!$A$2:$A$80,0),9)&lt;&gt;"",ISNUMBER(SEARCH(INDEX(Dictionnaire_criteres!$F$2:$X$80,MATCH($C19,Dictionnaire_criteres!$A$2:$A$80,0),9),$K$10))),AND(INDEX(Dictionnaire_criteres!$F$2:$X$80,MATCH($C19,Dictionnaire_criteres!$A$2:$A$80,0),10)&lt;&gt;"",ISNUMBER(SEARCH(INDEX(Dictionnaire_criteres!$F$2:$X$80,MATCH($C19,Dictionnaire_criteres!$A$2:$A$80,0),10),$K$10))),AND(INDEX(Dictionnaire_criteres!$F$2:$X$80,MATCH($C19,Dictionnaire_criteres!$A$2:$A$80,0),11)&lt;&gt;"",ISNUMBER(SEARCH(INDEX(Dictionnaire_criteres!$F$2:$X$80,MATCH($C19,Dictionnaire_criteres!$A$2:$A$80,0),11),$K$10))),AND(INDEX(Dictionnaire_criteres!$F$2:$X$80,MATCH($C19,Dictionnaire_criteres!$A$2:$A$80,0),12)&lt;&gt;"",ISNUMBER(SEARCH(INDEX(Dictionnaire_criteres!$F$2:$X$80,MATCH($C19,Dictionnaire_criteres!$A$2:$A$80,0),12),$K$10))),AND(INDEX(Dictionnaire_criteres!$F$2:$X$80,MATCH($C19,Dictionnaire_criteres!$A$2:$A$80,0),13)&lt;&gt;"",ISNUMBER(SEARCH(INDEX(Dictionnaire_criteres!$F$2:$X$80,MATCH($C19,Dictionnaire_criteres!$A$2:$A$80,0),13),$K$10))),AND(INDEX(Dictionnaire_criteres!$F$2:$X$80,MATCH($C19,Dictionnaire_criteres!$A$2:$A$80,0),14)&lt;&gt;"",ISNUMBER(SEARCH(INDEX(Dictionnaire_criteres!$F$2:$X$80,MATCH($C19,Dictionnaire_criteres!$A$2:$A$80,0),14),$K$10))),AND(INDEX(Dictionnaire_criteres!$F$2:$X$80,MATCH($C19,Dictionnaire_criteres!$A$2:$A$80,0),15)&lt;&gt;"",ISNUMBER(SEARCH(INDEX(Dictionnaire_criteres!$F$2:$X$80,MATCH($C19,Dictionnaire_criteres!$A$2:$A$80,0),15),$K$10))),AND(INDEX(Dictionnaire_criteres!$F$2:$X$80,MATCH($C19,Dictionnaire_criteres!$A$2:$A$80,0),16)&lt;&gt;"",ISNUMBER(SEARCH(INDEX(Dictionnaire_criteres!$F$2:$X$80,MATCH($C19,Dictionnaire_criteres!$A$2:$A$80,0),16),$K$10))),AND(INDEX(Dictionnaire_criteres!$F$2:$X$80,MATCH($C19,Dictionnaire_criteres!$A$2:$A$80,0),17)&lt;&gt;"",ISNUMBER(SEARCH(INDEX(Dictionnaire_criteres!$F$2:$X$80,MATCH($C19,Dictionnaire_criteres!$A$2:$A$80,0),17),$K$10))),AND(INDEX(Dictionnaire_criteres!$F$2:$X$80,MATCH($C19,Dictionnaire_criteres!$A$2:$A$80,0),18)&lt;&gt;"",ISNUMBER(SEARCH(INDEX(Dictionnaire_criteres!$F$2:$X$80,MATCH($C19,Dictionnaire_criteres!$A$2:$A$80,0),18),$K$10))),AND(INDEX(Dictionnaire_criteres!$F$2:$X$80,MATCH($C19,Dictionnaire_criteres!$A$2:$A$80,0),19)&lt;&gt;"",ISNUMBER(SEARCH(INDEX(Dictionnaire_criteres!$F$2:$X$80,MATCH($C19,Dictionnaire_criteres!$A$2:$A$80,0),19),$K$10)))),"OK","À compléter")))</f>
        <v>À compléter</v>
      </c>
      <c r="G19" s="12">
        <f>IF(F19="OK",E19,0)</f>
        <v>0</v>
      </c>
      <c r="H19" s="63" t="str">
        <f>IF($C19="","",INDEX(Dictionnaire_criteres!$D$2:$D$80,MATCH($C19,Dictionnaire_criteres!$A$2:$A$80,0)))</f>
        <v>La réponse tient compte de la production collective : volume, service, self, convives.</v>
      </c>
      <c r="I19" s="64" t="str">
        <f>IF($C19="","",INDEX(Dictionnaire_criteres!$E$2:$E$80,MATCH($C19,Dictionnaire_criteres!$A$2:$A$80,0)))</f>
        <v>Ramener la réponse au terrain : grande quantité, self, service, convives, organisation.</v>
      </c>
    </row>
    <row r="20" spans="1:9" ht="15.75" x14ac:dyDescent="0.25">
      <c r="A20" s="1"/>
      <c r="B20" s="1"/>
      <c r="C20" s="1"/>
      <c r="D20" s="1"/>
      <c r="E20" s="1"/>
      <c r="F20" s="1"/>
      <c r="G20" s="1"/>
      <c r="H20" s="1"/>
      <c r="I20" s="1"/>
    </row>
    <row r="21" spans="1:9" ht="42" customHeight="1" x14ac:dyDescent="0.25">
      <c r="A21" s="1"/>
      <c r="B21" s="65" t="s">
        <v>23</v>
      </c>
      <c r="C21" s="66">
        <f>SUM(G15:G19)</f>
        <v>12</v>
      </c>
      <c r="D21" s="658" t="s">
        <v>24</v>
      </c>
      <c r="E21" s="658"/>
      <c r="F21" s="10"/>
      <c r="G21" s="10"/>
      <c r="H21" s="10"/>
      <c r="I21" s="5"/>
    </row>
    <row r="22" spans="1:9" ht="42" customHeight="1" x14ac:dyDescent="0.25">
      <c r="A22" s="1"/>
      <c r="B22" s="67" t="s">
        <v>25</v>
      </c>
      <c r="C22" s="16" t="str">
        <f>IF(C21&gt;=16,"Acquis solide",IF(C21&gt;=12,"Acquis partiel",IF(C21&gt;=8,"Fragile","Insuffisant")))</f>
        <v>Acquis partiel</v>
      </c>
      <c r="D22" s="11"/>
      <c r="E22" s="11"/>
      <c r="F22" s="11"/>
      <c r="G22" s="11"/>
      <c r="H22" s="11"/>
      <c r="I22" s="7"/>
    </row>
    <row r="23" spans="1:9" ht="51.95" customHeight="1" x14ac:dyDescent="0.25">
      <c r="A23" s="1"/>
      <c r="B23" s="67" t="s">
        <v>26</v>
      </c>
      <c r="C23" s="671" t="str">
        <f>IFERROR(INDEX($I$15:$I$19,MATCH("À compléter",$F$15:$F$19,0)),"Réponse suffisamment couverte : demander un exemple terrain si nécessaire.")</f>
        <v>Faire préciser pourquoi, comment, dans quel contexte et avec un exemple terrain.</v>
      </c>
      <c r="D23" s="672"/>
      <c r="E23" s="672"/>
      <c r="F23" s="672"/>
      <c r="G23" s="672"/>
      <c r="H23" s="672"/>
      <c r="I23" s="673"/>
    </row>
    <row r="24" spans="1:9" ht="51.95" customHeight="1" x14ac:dyDescent="0.25">
      <c r="A24" s="1"/>
      <c r="B24" s="68" t="s">
        <v>27</v>
      </c>
      <c r="C24" s="674" t="str">
        <f>IF($K$4="","Question non reconnue : ajouter la question dans Questions_150 et renseigner les critères déclencheurs en colonne Y.",INDEX(Questions_150!$M$3:$M$450,MATCH($K$4,Questions_150!$A$3:$A$450,0)))</f>
        <v>Réponse solide attendue : Allergène soja ; Sources de protéines végétales ; Argumentation / justification ; Plat complet / composition ; Contexte restauration collective. La réponse doit rester concrète, reliée à la restauration collective et justifiée par au moins un exemple.</v>
      </c>
      <c r="D24" s="675"/>
      <c r="E24" s="675"/>
      <c r="F24" s="675"/>
      <c r="G24" s="675"/>
      <c r="H24" s="675"/>
      <c r="I24" s="676"/>
    </row>
    <row r="25" spans="1:9" ht="51.95" customHeight="1" x14ac:dyDescent="0.25">
      <c r="A25" s="1"/>
      <c r="B25" s="67" t="s">
        <v>28</v>
      </c>
      <c r="C25" s="677" t="s">
        <v>29</v>
      </c>
      <c r="D25" s="678"/>
      <c r="E25" s="678"/>
      <c r="F25" s="678"/>
      <c r="G25" s="678"/>
      <c r="H25" s="678"/>
      <c r="I25" s="679"/>
    </row>
    <row r="26" spans="1:9" ht="51.95" customHeight="1" x14ac:dyDescent="0.25">
      <c r="A26" s="1"/>
      <c r="B26" s="69" t="s">
        <v>30</v>
      </c>
      <c r="C26" s="655" t="s">
        <v>31</v>
      </c>
      <c r="D26" s="656"/>
      <c r="E26" s="656"/>
      <c r="F26" s="656"/>
      <c r="G26" s="656"/>
      <c r="H26" s="656"/>
      <c r="I26" s="657"/>
    </row>
    <row r="30" spans="1:9" x14ac:dyDescent="0.25">
      <c r="D30" s="556"/>
    </row>
  </sheetData>
  <mergeCells count="15">
    <mergeCell ref="C26:I26"/>
    <mergeCell ref="D21:E21"/>
    <mergeCell ref="B10:F12"/>
    <mergeCell ref="K10:K13"/>
    <mergeCell ref="G11:I12"/>
    <mergeCell ref="C23:I23"/>
    <mergeCell ref="C24:I24"/>
    <mergeCell ref="C25:I25"/>
    <mergeCell ref="B1:G1"/>
    <mergeCell ref="D7:F8"/>
    <mergeCell ref="G8:I9"/>
    <mergeCell ref="B2:I2"/>
    <mergeCell ref="B4:B6"/>
    <mergeCell ref="C4:F6"/>
    <mergeCell ref="G5:I6"/>
  </mergeCells>
  <conditionalFormatting sqref="F15:F19">
    <cfRule type="containsText" dxfId="88" priority="1" operator="containsText" text="OK"/>
    <cfRule type="containsText" dxfId="87" priority="2" operator="containsText" text="À compléter"/>
  </conditionalFormatting>
  <conditionalFormatting sqref="G15:G19">
    <cfRule type="dataBar" priority="3">
      <dataBar>
        <cfvo type="min"/>
        <cfvo type="max"/>
        <color rgb="FF8DB4E2"/>
      </dataBar>
    </cfRule>
    <cfRule type="dataBar" priority="4">
      <dataBar>
        <cfvo type="min"/>
        <cfvo type="max"/>
        <color rgb="FF8DB4E2"/>
      </dataBar>
    </cfRule>
    <cfRule type="dataBar" priority="5">
      <dataBar>
        <cfvo type="min"/>
        <cfvo type="max"/>
        <color rgb="FF8DB4E2"/>
      </dataBar>
      <extLst>
        <ext xmlns:x14="http://schemas.microsoft.com/office/spreadsheetml/2009/9/main" uri="{B025F937-C7B1-47D3-B67F-A62EFF666E3E}">
          <x14:id>{245B5587-77C5-4CA1-A1BC-51CF89F1EC89}</x14:id>
        </ext>
      </extLst>
    </cfRule>
  </conditionalFormatting>
  <dataValidations count="1">
    <dataValidation type="whole" errorStyle="warning" showErrorMessage="1" errorTitle="Question invalide" error="Saisir un numéro entier entre 1 et 150." sqref="C3" xr:uid="{00000000-0002-0000-0000-000000000000}">
      <formula1>1</formula1>
      <formula2>150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45B5587-77C5-4CA1-A1BC-51CF89F1EC89}">
            <x14:dataBar>
              <x14:cfvo type="min"/>
              <x14:cfvo type="max"/>
              <x14:negativeFillColor auto="1"/>
              <x14:axisColor auto="1"/>
            </x14:dataBar>
          </x14:cfRule>
          <xm:sqref>G15:G19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52"/>
  <sheetViews>
    <sheetView showGridLines="0" workbookViewId="0">
      <selection activeCell="AH12" sqref="AH12:AH13"/>
    </sheetView>
  </sheetViews>
  <sheetFormatPr baseColWidth="10" defaultColWidth="9" defaultRowHeight="15" x14ac:dyDescent="0.25"/>
  <cols>
    <col min="1" max="1" width="7" style="34" customWidth="1"/>
    <col min="2" max="2" width="23.625" style="13" customWidth="1"/>
    <col min="3" max="3" width="25.625" style="13" customWidth="1"/>
    <col min="4" max="4" width="33.625" style="13" customWidth="1"/>
    <col min="5" max="5" width="9" style="36" customWidth="1"/>
    <col min="6" max="6" width="13.625" style="13" customWidth="1"/>
    <col min="7" max="7" width="10.625" style="13" customWidth="1"/>
    <col min="8" max="8" width="55.625" style="13" customWidth="1"/>
    <col min="9" max="9" width="9" style="36" customWidth="1"/>
    <col min="10" max="11" width="9" style="13" customWidth="1"/>
    <col min="12" max="12" width="7" style="34" customWidth="1"/>
    <col min="13" max="13" width="23.625" style="13" customWidth="1"/>
    <col min="14" max="14" width="26.625" style="13" customWidth="1"/>
    <col min="15" max="15" width="33.625" style="13" customWidth="1"/>
    <col min="16" max="16" width="10.625" style="13" customWidth="1"/>
    <col min="17" max="17" width="13.625" style="13" customWidth="1"/>
    <col min="18" max="18" width="9" style="13" customWidth="1"/>
    <col min="19" max="19" width="7" style="34" customWidth="1"/>
    <col min="20" max="20" width="23.625" style="13" customWidth="1"/>
    <col min="21" max="21" width="26.625" style="13" customWidth="1"/>
    <col min="22" max="22" width="33.625" style="13" customWidth="1"/>
    <col min="23" max="23" width="10.625" style="13" customWidth="1"/>
    <col min="24" max="24" width="13.625" style="13" customWidth="1"/>
    <col min="25" max="25" width="34.5" style="37" customWidth="1"/>
    <col min="26" max="26" width="6" style="35" customWidth="1"/>
    <col min="27" max="27" width="7" style="34" customWidth="1"/>
    <col min="28" max="28" width="23.625" style="13" customWidth="1"/>
    <col min="29" max="29" width="26.625" style="13" customWidth="1"/>
    <col min="30" max="30" width="33.625" style="13" customWidth="1"/>
    <col min="31" max="31" width="10.625" style="13" customWidth="1"/>
    <col min="32" max="32" width="13.625" style="13" customWidth="1"/>
    <col min="33" max="16384" width="9" style="13"/>
  </cols>
  <sheetData>
    <row r="1" spans="1:33" x14ac:dyDescent="0.25">
      <c r="A1" s="25">
        <f t="shared" ref="A1:L1" ca="1" si="0">INDEX(CELL("largeur",A1),1,1)</f>
        <v>6</v>
      </c>
      <c r="B1" s="25">
        <f t="shared" ca="1" si="0"/>
        <v>23</v>
      </c>
      <c r="C1" s="25">
        <f t="shared" ca="1" si="0"/>
        <v>25</v>
      </c>
      <c r="D1" s="25">
        <f t="shared" ca="1" si="0"/>
        <v>33</v>
      </c>
      <c r="E1" s="25">
        <f t="shared" ca="1" si="0"/>
        <v>8</v>
      </c>
      <c r="F1" s="25">
        <f t="shared" ca="1" si="0"/>
        <v>13</v>
      </c>
      <c r="G1" s="25">
        <f t="shared" ca="1" si="0"/>
        <v>10</v>
      </c>
      <c r="H1" s="25">
        <f t="shared" ca="1" si="0"/>
        <v>55</v>
      </c>
      <c r="I1" s="25">
        <f t="shared" ca="1" si="0"/>
        <v>8</v>
      </c>
      <c r="J1" s="25">
        <f t="shared" ca="1" si="0"/>
        <v>8</v>
      </c>
      <c r="K1" s="25">
        <f t="shared" ref="K1:AF1" ca="1" si="1">INDEX(CELL("largeur",K1),1,1)</f>
        <v>8</v>
      </c>
      <c r="L1" s="25">
        <f t="shared" ca="1" si="0"/>
        <v>6</v>
      </c>
      <c r="M1" s="25">
        <f t="shared" ca="1" si="1"/>
        <v>23</v>
      </c>
      <c r="N1" s="25">
        <f t="shared" ca="1" si="1"/>
        <v>26</v>
      </c>
      <c r="O1" s="25">
        <f t="shared" ca="1" si="1"/>
        <v>33</v>
      </c>
      <c r="P1" s="25">
        <f t="shared" ca="1" si="1"/>
        <v>10</v>
      </c>
      <c r="Q1" s="25">
        <f t="shared" ca="1" si="1"/>
        <v>13</v>
      </c>
      <c r="S1" s="25">
        <f t="shared" ref="S1" ca="1" si="2">INDEX(CELL("largeur",S1),1,1)</f>
        <v>6</v>
      </c>
      <c r="T1" s="25">
        <f t="shared" ca="1" si="1"/>
        <v>23</v>
      </c>
      <c r="U1" s="25">
        <f t="shared" ca="1" si="1"/>
        <v>26</v>
      </c>
      <c r="V1" s="25">
        <f t="shared" ca="1" si="1"/>
        <v>33</v>
      </c>
      <c r="W1" s="25">
        <f t="shared" ca="1" si="1"/>
        <v>10</v>
      </c>
      <c r="X1" s="25">
        <f t="shared" ca="1" si="1"/>
        <v>13</v>
      </c>
      <c r="Y1" s="25">
        <f t="shared" ca="1" si="1"/>
        <v>34</v>
      </c>
      <c r="Z1" s="70"/>
      <c r="AA1" s="25">
        <f t="shared" ref="AA1" ca="1" si="3">INDEX(CELL("largeur",AA1),1,1)</f>
        <v>6</v>
      </c>
      <c r="AB1" s="25">
        <f t="shared" ca="1" si="1"/>
        <v>23</v>
      </c>
      <c r="AC1" s="25">
        <f t="shared" ca="1" si="1"/>
        <v>26</v>
      </c>
      <c r="AD1" s="25">
        <f t="shared" ca="1" si="1"/>
        <v>33</v>
      </c>
      <c r="AE1" s="25">
        <f t="shared" ca="1" si="1"/>
        <v>10</v>
      </c>
      <c r="AF1" s="25">
        <f t="shared" ca="1" si="1"/>
        <v>13</v>
      </c>
    </row>
    <row r="2" spans="1:33" ht="30" customHeight="1" x14ac:dyDescent="0.25">
      <c r="A2" s="71" t="s">
        <v>15</v>
      </c>
      <c r="B2" s="72" t="s">
        <v>32</v>
      </c>
      <c r="C2" s="72" t="s">
        <v>33</v>
      </c>
      <c r="D2" s="73" t="s">
        <v>34</v>
      </c>
      <c r="E2" s="73"/>
      <c r="F2" s="73"/>
      <c r="G2" s="73"/>
      <c r="H2" s="73"/>
      <c r="I2" s="73"/>
      <c r="J2" s="73"/>
      <c r="L2" s="71" t="s">
        <v>15</v>
      </c>
      <c r="M2" s="38" t="s">
        <v>35</v>
      </c>
      <c r="N2" s="38"/>
      <c r="O2" s="74"/>
      <c r="P2" s="38"/>
      <c r="Q2" s="75"/>
      <c r="S2" s="71" t="s">
        <v>15</v>
      </c>
      <c r="T2" s="76" t="s">
        <v>36</v>
      </c>
      <c r="U2" s="76"/>
      <c r="V2" s="76"/>
      <c r="W2" s="76"/>
      <c r="X2" s="77"/>
      <c r="Y2" s="78" t="s">
        <v>37</v>
      </c>
      <c r="AA2" s="71" t="s">
        <v>15</v>
      </c>
      <c r="AB2" s="76" t="s">
        <v>38</v>
      </c>
      <c r="AC2" s="76"/>
      <c r="AD2" s="76"/>
      <c r="AE2" s="76"/>
      <c r="AF2" s="77"/>
      <c r="AG2" s="560" t="s">
        <v>1723</v>
      </c>
    </row>
    <row r="3" spans="1:33" ht="15.75" x14ac:dyDescent="0.25">
      <c r="A3" s="30">
        <v>1</v>
      </c>
      <c r="B3" s="79" t="s">
        <v>39</v>
      </c>
      <c r="C3" s="26" t="s">
        <v>40</v>
      </c>
      <c r="D3" s="680" t="s">
        <v>41</v>
      </c>
      <c r="E3" s="681"/>
      <c r="F3" s="681"/>
      <c r="G3" s="681"/>
      <c r="H3" s="681"/>
      <c r="I3" s="681"/>
      <c r="J3" s="682"/>
      <c r="L3" s="30">
        <v>1</v>
      </c>
      <c r="M3" s="689" t="s">
        <v>42</v>
      </c>
      <c r="N3" s="690"/>
      <c r="O3" s="690"/>
      <c r="P3" s="690"/>
      <c r="Q3" s="691"/>
      <c r="S3" s="30">
        <v>1</v>
      </c>
      <c r="T3" s="698" t="s">
        <v>43</v>
      </c>
      <c r="U3" s="699"/>
      <c r="V3" s="699"/>
      <c r="W3" s="699"/>
      <c r="X3" s="700"/>
      <c r="Y3" s="707" t="s">
        <v>44</v>
      </c>
      <c r="AA3" s="30">
        <v>1</v>
      </c>
      <c r="AB3" s="710" t="s">
        <v>45</v>
      </c>
      <c r="AC3" s="711"/>
      <c r="AD3" s="711"/>
      <c r="AE3" s="711"/>
      <c r="AF3" s="712"/>
    </row>
    <row r="4" spans="1:33" ht="15.75" x14ac:dyDescent="0.25">
      <c r="A4" s="31"/>
      <c r="B4" s="80"/>
      <c r="C4" s="40"/>
      <c r="D4" s="683"/>
      <c r="E4" s="684"/>
      <c r="F4" s="684"/>
      <c r="G4" s="684"/>
      <c r="H4" s="684"/>
      <c r="I4" s="684"/>
      <c r="J4" s="685"/>
      <c r="L4" s="31"/>
      <c r="M4" s="692"/>
      <c r="N4" s="693"/>
      <c r="O4" s="693"/>
      <c r="P4" s="693"/>
      <c r="Q4" s="694"/>
      <c r="S4" s="31"/>
      <c r="T4" s="701"/>
      <c r="U4" s="702"/>
      <c r="V4" s="702"/>
      <c r="W4" s="702"/>
      <c r="X4" s="703"/>
      <c r="Y4" s="708"/>
      <c r="Z4" s="29"/>
      <c r="AA4" s="31"/>
      <c r="AB4" s="713"/>
      <c r="AC4" s="714"/>
      <c r="AD4" s="714"/>
      <c r="AE4" s="714"/>
      <c r="AF4" s="715"/>
    </row>
    <row r="5" spans="1:33" ht="15.75" x14ac:dyDescent="0.25">
      <c r="A5" s="32"/>
      <c r="B5" s="80"/>
      <c r="C5" s="40"/>
      <c r="D5" s="686"/>
      <c r="E5" s="687"/>
      <c r="F5" s="687"/>
      <c r="G5" s="687"/>
      <c r="H5" s="687"/>
      <c r="I5" s="687"/>
      <c r="J5" s="688"/>
      <c r="L5" s="32"/>
      <c r="M5" s="695"/>
      <c r="N5" s="696"/>
      <c r="O5" s="696"/>
      <c r="P5" s="696"/>
      <c r="Q5" s="697"/>
      <c r="S5" s="32"/>
      <c r="T5" s="704"/>
      <c r="U5" s="705"/>
      <c r="V5" s="705"/>
      <c r="W5" s="705"/>
      <c r="X5" s="706"/>
      <c r="Y5" s="709"/>
      <c r="Z5" s="29"/>
      <c r="AA5" s="32"/>
      <c r="AB5" s="716"/>
      <c r="AC5" s="717"/>
      <c r="AD5" s="717"/>
      <c r="AE5" s="717"/>
      <c r="AF5" s="718"/>
    </row>
    <row r="6" spans="1:33" ht="15.75" x14ac:dyDescent="0.25">
      <c r="A6" s="30">
        <v>2</v>
      </c>
      <c r="B6" s="79" t="s">
        <v>39</v>
      </c>
      <c r="C6" s="26" t="s">
        <v>46</v>
      </c>
      <c r="D6" s="680" t="s">
        <v>47</v>
      </c>
      <c r="E6" s="681"/>
      <c r="F6" s="681"/>
      <c r="G6" s="681"/>
      <c r="H6" s="681"/>
      <c r="I6" s="681"/>
      <c r="J6" s="682"/>
      <c r="L6" s="30">
        <v>2</v>
      </c>
      <c r="M6" s="689" t="s">
        <v>48</v>
      </c>
      <c r="N6" s="690"/>
      <c r="O6" s="690"/>
      <c r="P6" s="690"/>
      <c r="Q6" s="691"/>
      <c r="S6" s="30">
        <v>2</v>
      </c>
      <c r="T6" s="698" t="s">
        <v>49</v>
      </c>
      <c r="U6" s="699"/>
      <c r="V6" s="699"/>
      <c r="W6" s="699"/>
      <c r="X6" s="700"/>
      <c r="Y6" s="707" t="s">
        <v>50</v>
      </c>
      <c r="Z6" s="35" t="s">
        <v>51</v>
      </c>
      <c r="AA6" s="30">
        <v>2</v>
      </c>
      <c r="AB6" s="710" t="s">
        <v>52</v>
      </c>
      <c r="AC6" s="711"/>
      <c r="AD6" s="711"/>
      <c r="AE6" s="711"/>
      <c r="AF6" s="712"/>
    </row>
    <row r="7" spans="1:33" ht="15.75" x14ac:dyDescent="0.25">
      <c r="A7" s="31"/>
      <c r="B7" s="80"/>
      <c r="C7" s="40"/>
      <c r="D7" s="683"/>
      <c r="E7" s="684"/>
      <c r="F7" s="684"/>
      <c r="G7" s="684"/>
      <c r="H7" s="684"/>
      <c r="I7" s="684"/>
      <c r="J7" s="685"/>
      <c r="L7" s="31"/>
      <c r="M7" s="692"/>
      <c r="N7" s="693"/>
      <c r="O7" s="693"/>
      <c r="P7" s="693"/>
      <c r="Q7" s="694"/>
      <c r="S7" s="31"/>
      <c r="T7" s="701"/>
      <c r="U7" s="702"/>
      <c r="V7" s="702"/>
      <c r="W7" s="702"/>
      <c r="X7" s="703"/>
      <c r="Y7" s="708"/>
      <c r="Z7" s="29"/>
      <c r="AA7" s="31"/>
      <c r="AB7" s="713"/>
      <c r="AC7" s="714"/>
      <c r="AD7" s="714"/>
      <c r="AE7" s="714"/>
      <c r="AF7" s="715"/>
    </row>
    <row r="8" spans="1:33" ht="15.75" x14ac:dyDescent="0.25">
      <c r="A8" s="32"/>
      <c r="B8" s="80"/>
      <c r="C8" s="40"/>
      <c r="D8" s="686"/>
      <c r="E8" s="687"/>
      <c r="F8" s="687"/>
      <c r="G8" s="687"/>
      <c r="H8" s="687"/>
      <c r="I8" s="687"/>
      <c r="J8" s="688"/>
      <c r="L8" s="32"/>
      <c r="M8" s="695"/>
      <c r="N8" s="696"/>
      <c r="O8" s="696"/>
      <c r="P8" s="696"/>
      <c r="Q8" s="697"/>
      <c r="S8" s="32"/>
      <c r="T8" s="704"/>
      <c r="U8" s="705"/>
      <c r="V8" s="705"/>
      <c r="W8" s="705"/>
      <c r="X8" s="706"/>
      <c r="Y8" s="709"/>
      <c r="Z8" s="29"/>
      <c r="AA8" s="32"/>
      <c r="AB8" s="716"/>
      <c r="AC8" s="717"/>
      <c r="AD8" s="717"/>
      <c r="AE8" s="717"/>
      <c r="AF8" s="718"/>
    </row>
    <row r="9" spans="1:33" ht="21" customHeight="1" x14ac:dyDescent="0.25">
      <c r="A9" s="30">
        <v>3</v>
      </c>
      <c r="B9" s="79" t="s">
        <v>39</v>
      </c>
      <c r="C9" s="26" t="s">
        <v>53</v>
      </c>
      <c r="D9" s="680" t="s">
        <v>54</v>
      </c>
      <c r="E9" s="681"/>
      <c r="F9" s="681"/>
      <c r="G9" s="681"/>
      <c r="H9" s="681"/>
      <c r="I9" s="681"/>
      <c r="J9" s="682"/>
      <c r="L9" s="30">
        <v>3</v>
      </c>
      <c r="M9" s="689" t="s">
        <v>55</v>
      </c>
      <c r="N9" s="690"/>
      <c r="O9" s="690"/>
      <c r="P9" s="690"/>
      <c r="Q9" s="691"/>
      <c r="S9" s="30">
        <v>3</v>
      </c>
      <c r="T9" s="698" t="s">
        <v>56</v>
      </c>
      <c r="U9" s="699"/>
      <c r="V9" s="699"/>
      <c r="W9" s="699"/>
      <c r="X9" s="700"/>
      <c r="Y9" s="707" t="s">
        <v>57</v>
      </c>
      <c r="AA9" s="30">
        <v>3</v>
      </c>
      <c r="AB9" s="710" t="s">
        <v>58</v>
      </c>
      <c r="AC9" s="711"/>
      <c r="AD9" s="711"/>
      <c r="AE9" s="711"/>
      <c r="AF9" s="712"/>
    </row>
    <row r="10" spans="1:33" ht="21" customHeight="1" x14ac:dyDescent="0.25">
      <c r="A10" s="31"/>
      <c r="B10" s="80"/>
      <c r="C10" s="40"/>
      <c r="D10" s="683"/>
      <c r="E10" s="684"/>
      <c r="F10" s="684"/>
      <c r="G10" s="684"/>
      <c r="H10" s="684"/>
      <c r="I10" s="684"/>
      <c r="J10" s="685"/>
      <c r="L10" s="31"/>
      <c r="M10" s="692"/>
      <c r="N10" s="693"/>
      <c r="O10" s="693"/>
      <c r="P10" s="693"/>
      <c r="Q10" s="694"/>
      <c r="S10" s="31"/>
      <c r="T10" s="701"/>
      <c r="U10" s="702"/>
      <c r="V10" s="702"/>
      <c r="W10" s="702"/>
      <c r="X10" s="703"/>
      <c r="Y10" s="708"/>
      <c r="Z10" s="29"/>
      <c r="AA10" s="31"/>
      <c r="AB10" s="713"/>
      <c r="AC10" s="714"/>
      <c r="AD10" s="714"/>
      <c r="AE10" s="714"/>
      <c r="AF10" s="715"/>
    </row>
    <row r="11" spans="1:33" ht="21" customHeight="1" x14ac:dyDescent="0.25">
      <c r="A11" s="32"/>
      <c r="B11" s="80"/>
      <c r="C11" s="40"/>
      <c r="D11" s="686"/>
      <c r="E11" s="687"/>
      <c r="F11" s="687"/>
      <c r="G11" s="687"/>
      <c r="H11" s="687"/>
      <c r="I11" s="687"/>
      <c r="J11" s="688"/>
      <c r="L11" s="32"/>
      <c r="M11" s="695"/>
      <c r="N11" s="696"/>
      <c r="O11" s="696"/>
      <c r="P11" s="696"/>
      <c r="Q11" s="697"/>
      <c r="S11" s="32"/>
      <c r="T11" s="704"/>
      <c r="U11" s="705"/>
      <c r="V11" s="705"/>
      <c r="W11" s="705"/>
      <c r="X11" s="706"/>
      <c r="Y11" s="709"/>
      <c r="Z11" s="29"/>
      <c r="AA11" s="32"/>
      <c r="AB11" s="716"/>
      <c r="AC11" s="717"/>
      <c r="AD11" s="717"/>
      <c r="AE11" s="717"/>
      <c r="AF11" s="718"/>
    </row>
    <row r="12" spans="1:33" ht="21" customHeight="1" x14ac:dyDescent="0.25">
      <c r="A12" s="30">
        <v>4</v>
      </c>
      <c r="B12" s="79" t="s">
        <v>39</v>
      </c>
      <c r="C12" s="26" t="s">
        <v>59</v>
      </c>
      <c r="D12" s="680" t="s">
        <v>60</v>
      </c>
      <c r="E12" s="681"/>
      <c r="F12" s="681"/>
      <c r="G12" s="681"/>
      <c r="H12" s="681"/>
      <c r="I12" s="681"/>
      <c r="J12" s="682"/>
      <c r="L12" s="30">
        <v>4</v>
      </c>
      <c r="M12" s="689" t="s">
        <v>61</v>
      </c>
      <c r="N12" s="690"/>
      <c r="O12" s="690"/>
      <c r="P12" s="690"/>
      <c r="Q12" s="691"/>
      <c r="S12" s="30">
        <v>4</v>
      </c>
      <c r="T12" s="698" t="s">
        <v>62</v>
      </c>
      <c r="U12" s="699"/>
      <c r="V12" s="699"/>
      <c r="W12" s="699"/>
      <c r="X12" s="700"/>
      <c r="Y12" s="707" t="s">
        <v>63</v>
      </c>
      <c r="AA12" s="30">
        <v>4</v>
      </c>
      <c r="AB12" s="710" t="s">
        <v>64</v>
      </c>
      <c r="AC12" s="711"/>
      <c r="AD12" s="711"/>
      <c r="AE12" s="711"/>
      <c r="AF12" s="712"/>
    </row>
    <row r="13" spans="1:33" ht="21" customHeight="1" x14ac:dyDescent="0.25">
      <c r="A13" s="31"/>
      <c r="B13" s="80"/>
      <c r="C13" s="40"/>
      <c r="D13" s="683"/>
      <c r="E13" s="684"/>
      <c r="F13" s="684"/>
      <c r="G13" s="684"/>
      <c r="H13" s="684"/>
      <c r="I13" s="684"/>
      <c r="J13" s="685"/>
      <c r="L13" s="31"/>
      <c r="M13" s="692"/>
      <c r="N13" s="693"/>
      <c r="O13" s="693"/>
      <c r="P13" s="693"/>
      <c r="Q13" s="694"/>
      <c r="S13" s="31"/>
      <c r="T13" s="701"/>
      <c r="U13" s="702"/>
      <c r="V13" s="702"/>
      <c r="W13" s="702"/>
      <c r="X13" s="703"/>
      <c r="Y13" s="708"/>
      <c r="Z13" s="29"/>
      <c r="AA13" s="31"/>
      <c r="AB13" s="713"/>
      <c r="AC13" s="714"/>
      <c r="AD13" s="714"/>
      <c r="AE13" s="714"/>
      <c r="AF13" s="715"/>
    </row>
    <row r="14" spans="1:33" ht="21" customHeight="1" x14ac:dyDescent="0.25">
      <c r="A14" s="32"/>
      <c r="B14" s="80"/>
      <c r="C14" s="40"/>
      <c r="D14" s="686"/>
      <c r="E14" s="687"/>
      <c r="F14" s="687"/>
      <c r="G14" s="687"/>
      <c r="H14" s="687"/>
      <c r="I14" s="687"/>
      <c r="J14" s="688"/>
      <c r="L14" s="32"/>
      <c r="M14" s="695"/>
      <c r="N14" s="696"/>
      <c r="O14" s="696"/>
      <c r="P14" s="696"/>
      <c r="Q14" s="697"/>
      <c r="S14" s="32"/>
      <c r="T14" s="704"/>
      <c r="U14" s="705"/>
      <c r="V14" s="705"/>
      <c r="W14" s="705"/>
      <c r="X14" s="706"/>
      <c r="Y14" s="709"/>
      <c r="Z14" s="29"/>
      <c r="AA14" s="32"/>
      <c r="AB14" s="716"/>
      <c r="AC14" s="717"/>
      <c r="AD14" s="717"/>
      <c r="AE14" s="717"/>
      <c r="AF14" s="718"/>
    </row>
    <row r="15" spans="1:33" ht="21" customHeight="1" x14ac:dyDescent="0.25">
      <c r="A15" s="30">
        <v>5</v>
      </c>
      <c r="B15" s="79" t="s">
        <v>39</v>
      </c>
      <c r="C15" s="26" t="s">
        <v>65</v>
      </c>
      <c r="D15" s="680" t="s">
        <v>66</v>
      </c>
      <c r="E15" s="681"/>
      <c r="F15" s="681"/>
      <c r="G15" s="681"/>
      <c r="H15" s="681"/>
      <c r="I15" s="681"/>
      <c r="J15" s="682"/>
      <c r="L15" s="30">
        <v>5</v>
      </c>
      <c r="M15" s="689" t="s">
        <v>67</v>
      </c>
      <c r="N15" s="690"/>
      <c r="O15" s="690"/>
      <c r="P15" s="690"/>
      <c r="Q15" s="691"/>
      <c r="S15" s="30">
        <v>5</v>
      </c>
      <c r="T15" s="698" t="s">
        <v>68</v>
      </c>
      <c r="U15" s="699"/>
      <c r="V15" s="699"/>
      <c r="W15" s="699"/>
      <c r="X15" s="700"/>
      <c r="Y15" s="707" t="s">
        <v>69</v>
      </c>
      <c r="AA15" s="30">
        <v>5</v>
      </c>
      <c r="AB15" s="710" t="s">
        <v>70</v>
      </c>
      <c r="AC15" s="711"/>
      <c r="AD15" s="711"/>
      <c r="AE15" s="711"/>
      <c r="AF15" s="712"/>
    </row>
    <row r="16" spans="1:33" ht="21" customHeight="1" x14ac:dyDescent="0.25">
      <c r="A16" s="31"/>
      <c r="B16" s="80"/>
      <c r="C16" s="40"/>
      <c r="D16" s="683"/>
      <c r="E16" s="684"/>
      <c r="F16" s="684"/>
      <c r="G16" s="684"/>
      <c r="H16" s="684"/>
      <c r="I16" s="684"/>
      <c r="J16" s="685"/>
      <c r="L16" s="31"/>
      <c r="M16" s="692"/>
      <c r="N16" s="693"/>
      <c r="O16" s="693"/>
      <c r="P16" s="693"/>
      <c r="Q16" s="694"/>
      <c r="S16" s="31"/>
      <c r="T16" s="701"/>
      <c r="U16" s="702"/>
      <c r="V16" s="702"/>
      <c r="W16" s="702"/>
      <c r="X16" s="703"/>
      <c r="Y16" s="708"/>
      <c r="Z16" s="29"/>
      <c r="AA16" s="31"/>
      <c r="AB16" s="713"/>
      <c r="AC16" s="714"/>
      <c r="AD16" s="714"/>
      <c r="AE16" s="714"/>
      <c r="AF16" s="715"/>
    </row>
    <row r="17" spans="1:32" ht="21" customHeight="1" x14ac:dyDescent="0.25">
      <c r="A17" s="32"/>
      <c r="B17" s="80"/>
      <c r="C17" s="40"/>
      <c r="D17" s="686"/>
      <c r="E17" s="687"/>
      <c r="F17" s="687"/>
      <c r="G17" s="687"/>
      <c r="H17" s="687"/>
      <c r="I17" s="687"/>
      <c r="J17" s="688"/>
      <c r="L17" s="32"/>
      <c r="M17" s="695"/>
      <c r="N17" s="696"/>
      <c r="O17" s="696"/>
      <c r="P17" s="696"/>
      <c r="Q17" s="697"/>
      <c r="S17" s="32"/>
      <c r="T17" s="704"/>
      <c r="U17" s="705"/>
      <c r="V17" s="705"/>
      <c r="W17" s="705"/>
      <c r="X17" s="706"/>
      <c r="Y17" s="709"/>
      <c r="Z17" s="29"/>
      <c r="AA17" s="32"/>
      <c r="AB17" s="716"/>
      <c r="AC17" s="717"/>
      <c r="AD17" s="717"/>
      <c r="AE17" s="717"/>
      <c r="AF17" s="718"/>
    </row>
    <row r="18" spans="1:32" ht="21" customHeight="1" x14ac:dyDescent="0.25">
      <c r="A18" s="30">
        <v>6</v>
      </c>
      <c r="B18" s="79" t="s">
        <v>39</v>
      </c>
      <c r="C18" s="26" t="s">
        <v>65</v>
      </c>
      <c r="D18" s="680" t="s">
        <v>71</v>
      </c>
      <c r="E18" s="681"/>
      <c r="F18" s="681"/>
      <c r="G18" s="681"/>
      <c r="H18" s="681"/>
      <c r="I18" s="681"/>
      <c r="J18" s="682"/>
      <c r="L18" s="30">
        <v>6</v>
      </c>
      <c r="M18" s="689" t="s">
        <v>72</v>
      </c>
      <c r="N18" s="690"/>
      <c r="O18" s="690"/>
      <c r="P18" s="690"/>
      <c r="Q18" s="691"/>
      <c r="S18" s="30">
        <v>6</v>
      </c>
      <c r="T18" s="698" t="s">
        <v>68</v>
      </c>
      <c r="U18" s="699"/>
      <c r="V18" s="699"/>
      <c r="W18" s="699"/>
      <c r="X18" s="700"/>
      <c r="Y18" s="707" t="s">
        <v>73</v>
      </c>
      <c r="AA18" s="30">
        <v>6</v>
      </c>
      <c r="AB18" s="710" t="s">
        <v>74</v>
      </c>
      <c r="AC18" s="711"/>
      <c r="AD18" s="711"/>
      <c r="AE18" s="711"/>
      <c r="AF18" s="712"/>
    </row>
    <row r="19" spans="1:32" ht="21" customHeight="1" x14ac:dyDescent="0.25">
      <c r="A19" s="31"/>
      <c r="B19" s="80"/>
      <c r="C19" s="40"/>
      <c r="D19" s="683"/>
      <c r="E19" s="684"/>
      <c r="F19" s="684"/>
      <c r="G19" s="684"/>
      <c r="H19" s="684"/>
      <c r="I19" s="684"/>
      <c r="J19" s="685"/>
      <c r="L19" s="31"/>
      <c r="M19" s="692"/>
      <c r="N19" s="693"/>
      <c r="O19" s="693"/>
      <c r="P19" s="693"/>
      <c r="Q19" s="694"/>
      <c r="S19" s="31"/>
      <c r="T19" s="701"/>
      <c r="U19" s="702"/>
      <c r="V19" s="702"/>
      <c r="W19" s="702"/>
      <c r="X19" s="703"/>
      <c r="Y19" s="708"/>
      <c r="Z19" s="29"/>
      <c r="AA19" s="31"/>
      <c r="AB19" s="713"/>
      <c r="AC19" s="714"/>
      <c r="AD19" s="714"/>
      <c r="AE19" s="714"/>
      <c r="AF19" s="715"/>
    </row>
    <row r="20" spans="1:32" ht="21" customHeight="1" x14ac:dyDescent="0.25">
      <c r="A20" s="32"/>
      <c r="B20" s="80"/>
      <c r="C20" s="40"/>
      <c r="D20" s="686"/>
      <c r="E20" s="687"/>
      <c r="F20" s="687"/>
      <c r="G20" s="687"/>
      <c r="H20" s="687"/>
      <c r="I20" s="687"/>
      <c r="J20" s="688"/>
      <c r="L20" s="32"/>
      <c r="M20" s="695"/>
      <c r="N20" s="696"/>
      <c r="O20" s="696"/>
      <c r="P20" s="696"/>
      <c r="Q20" s="697"/>
      <c r="S20" s="32"/>
      <c r="T20" s="704"/>
      <c r="U20" s="705"/>
      <c r="V20" s="705"/>
      <c r="W20" s="705"/>
      <c r="X20" s="706"/>
      <c r="Y20" s="709"/>
      <c r="Z20" s="29"/>
      <c r="AA20" s="32"/>
      <c r="AB20" s="716"/>
      <c r="AC20" s="717"/>
      <c r="AD20" s="717"/>
      <c r="AE20" s="717"/>
      <c r="AF20" s="718"/>
    </row>
    <row r="21" spans="1:32" ht="21" customHeight="1" x14ac:dyDescent="0.25">
      <c r="A21" s="30">
        <v>7</v>
      </c>
      <c r="B21" s="79" t="s">
        <v>39</v>
      </c>
      <c r="C21" s="26" t="s">
        <v>75</v>
      </c>
      <c r="D21" s="680" t="s">
        <v>76</v>
      </c>
      <c r="E21" s="681"/>
      <c r="F21" s="681"/>
      <c r="G21" s="681"/>
      <c r="H21" s="681"/>
      <c r="I21" s="681"/>
      <c r="J21" s="682"/>
      <c r="L21" s="30">
        <v>7</v>
      </c>
      <c r="M21" s="689" t="s">
        <v>77</v>
      </c>
      <c r="N21" s="690"/>
      <c r="O21" s="690"/>
      <c r="P21" s="690"/>
      <c r="Q21" s="691"/>
      <c r="S21" s="30">
        <v>7</v>
      </c>
      <c r="T21" s="698" t="s">
        <v>78</v>
      </c>
      <c r="U21" s="699"/>
      <c r="V21" s="699"/>
      <c r="W21" s="699"/>
      <c r="X21" s="700"/>
      <c r="Y21" s="707" t="s">
        <v>79</v>
      </c>
      <c r="AA21" s="30">
        <v>7</v>
      </c>
      <c r="AB21" s="710" t="s">
        <v>80</v>
      </c>
      <c r="AC21" s="711"/>
      <c r="AD21" s="711"/>
      <c r="AE21" s="711"/>
      <c r="AF21" s="712"/>
    </row>
    <row r="22" spans="1:32" ht="21" customHeight="1" x14ac:dyDescent="0.25">
      <c r="A22" s="31"/>
      <c r="B22" s="80"/>
      <c r="C22" s="40"/>
      <c r="D22" s="683"/>
      <c r="E22" s="684"/>
      <c r="F22" s="684"/>
      <c r="G22" s="684"/>
      <c r="H22" s="684"/>
      <c r="I22" s="684"/>
      <c r="J22" s="685"/>
      <c r="L22" s="31"/>
      <c r="M22" s="692"/>
      <c r="N22" s="693"/>
      <c r="O22" s="693"/>
      <c r="P22" s="693"/>
      <c r="Q22" s="694"/>
      <c r="S22" s="31"/>
      <c r="T22" s="701"/>
      <c r="U22" s="702"/>
      <c r="V22" s="702"/>
      <c r="W22" s="702"/>
      <c r="X22" s="703"/>
      <c r="Y22" s="708"/>
      <c r="Z22" s="29"/>
      <c r="AA22" s="31"/>
      <c r="AB22" s="713"/>
      <c r="AC22" s="714"/>
      <c r="AD22" s="714"/>
      <c r="AE22" s="714"/>
      <c r="AF22" s="715"/>
    </row>
    <row r="23" spans="1:32" ht="21" customHeight="1" x14ac:dyDescent="0.25">
      <c r="A23" s="32"/>
      <c r="B23" s="80"/>
      <c r="C23" s="40"/>
      <c r="D23" s="686"/>
      <c r="E23" s="687"/>
      <c r="F23" s="687"/>
      <c r="G23" s="687"/>
      <c r="H23" s="687"/>
      <c r="I23" s="687"/>
      <c r="J23" s="688"/>
      <c r="L23" s="32"/>
      <c r="M23" s="695"/>
      <c r="N23" s="696"/>
      <c r="O23" s="696"/>
      <c r="P23" s="696"/>
      <c r="Q23" s="697"/>
      <c r="S23" s="32"/>
      <c r="T23" s="704"/>
      <c r="U23" s="705"/>
      <c r="V23" s="705"/>
      <c r="W23" s="705"/>
      <c r="X23" s="706"/>
      <c r="Y23" s="709"/>
      <c r="Z23" s="29"/>
      <c r="AA23" s="32"/>
      <c r="AB23" s="716"/>
      <c r="AC23" s="717"/>
      <c r="AD23" s="717"/>
      <c r="AE23" s="717"/>
      <c r="AF23" s="718"/>
    </row>
    <row r="24" spans="1:32" ht="21" customHeight="1" x14ac:dyDescent="0.25">
      <c r="A24" s="30">
        <v>8</v>
      </c>
      <c r="B24" s="79" t="s">
        <v>39</v>
      </c>
      <c r="C24" s="26" t="s">
        <v>81</v>
      </c>
      <c r="D24" s="680" t="s">
        <v>82</v>
      </c>
      <c r="E24" s="681"/>
      <c r="F24" s="681"/>
      <c r="G24" s="681"/>
      <c r="H24" s="681"/>
      <c r="I24" s="681"/>
      <c r="J24" s="682"/>
      <c r="L24" s="30">
        <v>8</v>
      </c>
      <c r="M24" s="689" t="s">
        <v>83</v>
      </c>
      <c r="N24" s="690"/>
      <c r="O24" s="690"/>
      <c r="P24" s="690"/>
      <c r="Q24" s="691"/>
      <c r="S24" s="30">
        <v>8</v>
      </c>
      <c r="T24" s="698" t="s">
        <v>84</v>
      </c>
      <c r="U24" s="699"/>
      <c r="V24" s="699"/>
      <c r="W24" s="699"/>
      <c r="X24" s="700"/>
      <c r="Y24" s="707" t="s">
        <v>85</v>
      </c>
      <c r="AA24" s="30">
        <v>8</v>
      </c>
      <c r="AB24" s="710" t="s">
        <v>86</v>
      </c>
      <c r="AC24" s="711"/>
      <c r="AD24" s="711"/>
      <c r="AE24" s="711"/>
      <c r="AF24" s="712"/>
    </row>
    <row r="25" spans="1:32" ht="21" customHeight="1" x14ac:dyDescent="0.25">
      <c r="A25" s="31"/>
      <c r="B25" s="80"/>
      <c r="C25" s="40"/>
      <c r="D25" s="683"/>
      <c r="E25" s="684"/>
      <c r="F25" s="684"/>
      <c r="G25" s="684"/>
      <c r="H25" s="684"/>
      <c r="I25" s="684"/>
      <c r="J25" s="685"/>
      <c r="L25" s="31"/>
      <c r="M25" s="692"/>
      <c r="N25" s="693"/>
      <c r="O25" s="693"/>
      <c r="P25" s="693"/>
      <c r="Q25" s="694"/>
      <c r="S25" s="31"/>
      <c r="T25" s="701"/>
      <c r="U25" s="702"/>
      <c r="V25" s="702"/>
      <c r="W25" s="702"/>
      <c r="X25" s="703"/>
      <c r="Y25" s="708"/>
      <c r="Z25" s="29"/>
      <c r="AA25" s="31"/>
      <c r="AB25" s="713"/>
      <c r="AC25" s="714"/>
      <c r="AD25" s="714"/>
      <c r="AE25" s="714"/>
      <c r="AF25" s="715"/>
    </row>
    <row r="26" spans="1:32" ht="21" customHeight="1" x14ac:dyDescent="0.25">
      <c r="A26" s="32"/>
      <c r="B26" s="80"/>
      <c r="C26" s="40"/>
      <c r="D26" s="686"/>
      <c r="E26" s="687"/>
      <c r="F26" s="687"/>
      <c r="G26" s="687"/>
      <c r="H26" s="687"/>
      <c r="I26" s="687"/>
      <c r="J26" s="688"/>
      <c r="L26" s="32"/>
      <c r="M26" s="695"/>
      <c r="N26" s="696"/>
      <c r="O26" s="696"/>
      <c r="P26" s="696"/>
      <c r="Q26" s="697"/>
      <c r="S26" s="32"/>
      <c r="T26" s="704"/>
      <c r="U26" s="705"/>
      <c r="V26" s="705"/>
      <c r="W26" s="705"/>
      <c r="X26" s="706"/>
      <c r="Y26" s="709"/>
      <c r="Z26" s="29"/>
      <c r="AA26" s="32"/>
      <c r="AB26" s="716"/>
      <c r="AC26" s="717"/>
      <c r="AD26" s="717"/>
      <c r="AE26" s="717"/>
      <c r="AF26" s="718"/>
    </row>
    <row r="27" spans="1:32" ht="21" customHeight="1" x14ac:dyDescent="0.25">
      <c r="A27" s="30">
        <v>9</v>
      </c>
      <c r="B27" s="79" t="s">
        <v>39</v>
      </c>
      <c r="C27" s="26" t="s">
        <v>87</v>
      </c>
      <c r="D27" s="680" t="s">
        <v>88</v>
      </c>
      <c r="E27" s="681"/>
      <c r="F27" s="681"/>
      <c r="G27" s="681"/>
      <c r="H27" s="681"/>
      <c r="I27" s="681"/>
      <c r="J27" s="682"/>
      <c r="L27" s="30">
        <v>9</v>
      </c>
      <c r="M27" s="689" t="s">
        <v>89</v>
      </c>
      <c r="N27" s="690"/>
      <c r="O27" s="690"/>
      <c r="P27" s="690"/>
      <c r="Q27" s="691"/>
      <c r="S27" s="30">
        <v>9</v>
      </c>
      <c r="T27" s="698" t="s">
        <v>90</v>
      </c>
      <c r="U27" s="699"/>
      <c r="V27" s="699"/>
      <c r="W27" s="699"/>
      <c r="X27" s="700"/>
      <c r="Y27" s="707" t="s">
        <v>91</v>
      </c>
      <c r="AA27" s="30">
        <v>9</v>
      </c>
      <c r="AB27" s="710" t="s">
        <v>92</v>
      </c>
      <c r="AC27" s="711"/>
      <c r="AD27" s="711"/>
      <c r="AE27" s="711"/>
      <c r="AF27" s="712"/>
    </row>
    <row r="28" spans="1:32" ht="21" customHeight="1" x14ac:dyDescent="0.25">
      <c r="A28" s="31"/>
      <c r="B28" s="80"/>
      <c r="C28" s="40"/>
      <c r="D28" s="683"/>
      <c r="E28" s="684"/>
      <c r="F28" s="684"/>
      <c r="G28" s="684"/>
      <c r="H28" s="684"/>
      <c r="I28" s="684"/>
      <c r="J28" s="685"/>
      <c r="L28" s="31"/>
      <c r="M28" s="692"/>
      <c r="N28" s="693"/>
      <c r="O28" s="693"/>
      <c r="P28" s="693"/>
      <c r="Q28" s="694"/>
      <c r="S28" s="31"/>
      <c r="T28" s="701"/>
      <c r="U28" s="702"/>
      <c r="V28" s="702"/>
      <c r="W28" s="702"/>
      <c r="X28" s="703"/>
      <c r="Y28" s="708"/>
      <c r="Z28" s="29"/>
      <c r="AA28" s="31"/>
      <c r="AB28" s="713"/>
      <c r="AC28" s="714"/>
      <c r="AD28" s="714"/>
      <c r="AE28" s="714"/>
      <c r="AF28" s="715"/>
    </row>
    <row r="29" spans="1:32" ht="21" customHeight="1" x14ac:dyDescent="0.25">
      <c r="A29" s="32"/>
      <c r="B29" s="80"/>
      <c r="C29" s="40"/>
      <c r="D29" s="686"/>
      <c r="E29" s="687"/>
      <c r="F29" s="687"/>
      <c r="G29" s="687"/>
      <c r="H29" s="687"/>
      <c r="I29" s="687"/>
      <c r="J29" s="688"/>
      <c r="L29" s="32"/>
      <c r="M29" s="695"/>
      <c r="N29" s="696"/>
      <c r="O29" s="696"/>
      <c r="P29" s="696"/>
      <c r="Q29" s="697"/>
      <c r="S29" s="32"/>
      <c r="T29" s="704"/>
      <c r="U29" s="705"/>
      <c r="V29" s="705"/>
      <c r="W29" s="705"/>
      <c r="X29" s="706"/>
      <c r="Y29" s="709"/>
      <c r="Z29" s="29"/>
      <c r="AA29" s="32"/>
      <c r="AB29" s="716"/>
      <c r="AC29" s="717"/>
      <c r="AD29" s="717"/>
      <c r="AE29" s="717"/>
      <c r="AF29" s="718"/>
    </row>
    <row r="30" spans="1:32" ht="21" customHeight="1" x14ac:dyDescent="0.25">
      <c r="A30" s="30">
        <v>10</v>
      </c>
      <c r="B30" s="79" t="s">
        <v>39</v>
      </c>
      <c r="C30" s="26" t="s">
        <v>93</v>
      </c>
      <c r="D30" s="680" t="s">
        <v>94</v>
      </c>
      <c r="E30" s="681"/>
      <c r="F30" s="681"/>
      <c r="G30" s="681"/>
      <c r="H30" s="681"/>
      <c r="I30" s="681"/>
      <c r="J30" s="682"/>
      <c r="L30" s="30">
        <v>10</v>
      </c>
      <c r="M30" s="689" t="s">
        <v>95</v>
      </c>
      <c r="N30" s="690"/>
      <c r="O30" s="690"/>
      <c r="P30" s="690"/>
      <c r="Q30" s="691"/>
      <c r="S30" s="30">
        <v>10</v>
      </c>
      <c r="T30" s="698" t="s">
        <v>96</v>
      </c>
      <c r="U30" s="699"/>
      <c r="V30" s="699"/>
      <c r="W30" s="699"/>
      <c r="X30" s="700"/>
      <c r="Y30" s="707" t="s">
        <v>97</v>
      </c>
      <c r="AA30" s="30">
        <v>10</v>
      </c>
      <c r="AB30" s="710" t="s">
        <v>98</v>
      </c>
      <c r="AC30" s="711"/>
      <c r="AD30" s="711"/>
      <c r="AE30" s="711"/>
      <c r="AF30" s="712"/>
    </row>
    <row r="31" spans="1:32" ht="21" customHeight="1" x14ac:dyDescent="0.25">
      <c r="A31" s="31"/>
      <c r="B31" s="80"/>
      <c r="C31" s="40"/>
      <c r="D31" s="683"/>
      <c r="E31" s="684"/>
      <c r="F31" s="684"/>
      <c r="G31" s="684"/>
      <c r="H31" s="684"/>
      <c r="I31" s="684"/>
      <c r="J31" s="685"/>
      <c r="L31" s="31"/>
      <c r="M31" s="692"/>
      <c r="N31" s="693"/>
      <c r="O31" s="693"/>
      <c r="P31" s="693"/>
      <c r="Q31" s="694"/>
      <c r="S31" s="31"/>
      <c r="T31" s="701"/>
      <c r="U31" s="702"/>
      <c r="V31" s="702"/>
      <c r="W31" s="702"/>
      <c r="X31" s="703"/>
      <c r="Y31" s="708"/>
      <c r="Z31" s="29"/>
      <c r="AA31" s="31"/>
      <c r="AB31" s="713"/>
      <c r="AC31" s="714"/>
      <c r="AD31" s="714"/>
      <c r="AE31" s="714"/>
      <c r="AF31" s="715"/>
    </row>
    <row r="32" spans="1:32" ht="21" customHeight="1" x14ac:dyDescent="0.25">
      <c r="A32" s="32"/>
      <c r="B32" s="80"/>
      <c r="C32" s="40"/>
      <c r="D32" s="686"/>
      <c r="E32" s="687"/>
      <c r="F32" s="687"/>
      <c r="G32" s="687"/>
      <c r="H32" s="687"/>
      <c r="I32" s="687"/>
      <c r="J32" s="688"/>
      <c r="L32" s="32"/>
      <c r="M32" s="695"/>
      <c r="N32" s="696"/>
      <c r="O32" s="696"/>
      <c r="P32" s="696"/>
      <c r="Q32" s="697"/>
      <c r="S32" s="32"/>
      <c r="T32" s="704"/>
      <c r="U32" s="705"/>
      <c r="V32" s="705"/>
      <c r="W32" s="705"/>
      <c r="X32" s="706"/>
      <c r="Y32" s="709"/>
      <c r="Z32" s="29"/>
      <c r="AA32" s="32"/>
      <c r="AB32" s="716"/>
      <c r="AC32" s="717"/>
      <c r="AD32" s="717"/>
      <c r="AE32" s="717"/>
      <c r="AF32" s="718"/>
    </row>
    <row r="33" spans="1:32" ht="21" customHeight="1" x14ac:dyDescent="0.25">
      <c r="A33" s="30">
        <v>11</v>
      </c>
      <c r="B33" s="79" t="s">
        <v>39</v>
      </c>
      <c r="C33" s="26" t="s">
        <v>93</v>
      </c>
      <c r="D33" s="680" t="s">
        <v>99</v>
      </c>
      <c r="E33" s="681"/>
      <c r="F33" s="681"/>
      <c r="G33" s="681"/>
      <c r="H33" s="681"/>
      <c r="I33" s="681"/>
      <c r="J33" s="682"/>
      <c r="L33" s="30">
        <v>11</v>
      </c>
      <c r="M33" s="689" t="s">
        <v>100</v>
      </c>
      <c r="N33" s="690"/>
      <c r="O33" s="690"/>
      <c r="P33" s="690"/>
      <c r="Q33" s="691"/>
      <c r="S33" s="30">
        <v>11</v>
      </c>
      <c r="T33" s="698" t="s">
        <v>96</v>
      </c>
      <c r="U33" s="699"/>
      <c r="V33" s="699"/>
      <c r="W33" s="699"/>
      <c r="X33" s="700"/>
      <c r="Y33" s="707" t="s">
        <v>101</v>
      </c>
      <c r="Z33" s="13"/>
      <c r="AA33" s="30">
        <v>11</v>
      </c>
      <c r="AB33" s="710" t="s">
        <v>102</v>
      </c>
      <c r="AC33" s="711"/>
      <c r="AD33" s="711"/>
      <c r="AE33" s="711"/>
      <c r="AF33" s="712"/>
    </row>
    <row r="34" spans="1:32" ht="21" customHeight="1" x14ac:dyDescent="0.25">
      <c r="A34" s="31"/>
      <c r="B34" s="80"/>
      <c r="C34" s="40"/>
      <c r="D34" s="683"/>
      <c r="E34" s="684"/>
      <c r="F34" s="684"/>
      <c r="G34" s="684"/>
      <c r="H34" s="684"/>
      <c r="I34" s="684"/>
      <c r="J34" s="685"/>
      <c r="L34" s="31"/>
      <c r="M34" s="692"/>
      <c r="N34" s="693"/>
      <c r="O34" s="693"/>
      <c r="P34" s="693"/>
      <c r="Q34" s="694"/>
      <c r="S34" s="31"/>
      <c r="T34" s="701"/>
      <c r="U34" s="702"/>
      <c r="V34" s="702"/>
      <c r="W34" s="702"/>
      <c r="X34" s="703"/>
      <c r="Y34" s="708"/>
      <c r="Z34" s="29"/>
      <c r="AA34" s="31"/>
      <c r="AB34" s="713"/>
      <c r="AC34" s="714"/>
      <c r="AD34" s="714"/>
      <c r="AE34" s="714"/>
      <c r="AF34" s="715"/>
    </row>
    <row r="35" spans="1:32" ht="21" customHeight="1" x14ac:dyDescent="0.25">
      <c r="A35" s="32"/>
      <c r="B35" s="80"/>
      <c r="C35" s="40"/>
      <c r="D35" s="686"/>
      <c r="E35" s="687"/>
      <c r="F35" s="687"/>
      <c r="G35" s="687"/>
      <c r="H35" s="687"/>
      <c r="I35" s="687"/>
      <c r="J35" s="688"/>
      <c r="L35" s="32"/>
      <c r="M35" s="695"/>
      <c r="N35" s="696"/>
      <c r="O35" s="696"/>
      <c r="P35" s="696"/>
      <c r="Q35" s="697"/>
      <c r="S35" s="32"/>
      <c r="T35" s="704"/>
      <c r="U35" s="705"/>
      <c r="V35" s="705"/>
      <c r="W35" s="705"/>
      <c r="X35" s="706"/>
      <c r="Y35" s="709"/>
      <c r="Z35" s="29"/>
      <c r="AA35" s="32"/>
      <c r="AB35" s="716"/>
      <c r="AC35" s="717"/>
      <c r="AD35" s="717"/>
      <c r="AE35" s="717"/>
      <c r="AF35" s="718"/>
    </row>
    <row r="36" spans="1:32" ht="21" customHeight="1" x14ac:dyDescent="0.25">
      <c r="A36" s="30">
        <v>12</v>
      </c>
      <c r="B36" s="79" t="s">
        <v>39</v>
      </c>
      <c r="C36" s="26" t="s">
        <v>103</v>
      </c>
      <c r="D36" s="680" t="s">
        <v>104</v>
      </c>
      <c r="E36" s="681"/>
      <c r="F36" s="681"/>
      <c r="G36" s="681"/>
      <c r="H36" s="681"/>
      <c r="I36" s="681"/>
      <c r="J36" s="682"/>
      <c r="L36" s="30">
        <v>12</v>
      </c>
      <c r="M36" s="689" t="s">
        <v>105</v>
      </c>
      <c r="N36" s="690"/>
      <c r="O36" s="690"/>
      <c r="P36" s="690"/>
      <c r="Q36" s="691"/>
      <c r="S36" s="30">
        <v>12</v>
      </c>
      <c r="T36" s="698" t="s">
        <v>106</v>
      </c>
      <c r="U36" s="699"/>
      <c r="V36" s="699"/>
      <c r="W36" s="699"/>
      <c r="X36" s="700"/>
      <c r="Y36" s="707" t="s">
        <v>107</v>
      </c>
      <c r="AA36" s="30">
        <v>12</v>
      </c>
      <c r="AB36" s="710" t="s">
        <v>108</v>
      </c>
      <c r="AC36" s="711"/>
      <c r="AD36" s="711"/>
      <c r="AE36" s="711"/>
      <c r="AF36" s="712"/>
    </row>
    <row r="37" spans="1:32" ht="21" customHeight="1" x14ac:dyDescent="0.25">
      <c r="A37" s="31"/>
      <c r="B37" s="80"/>
      <c r="C37" s="40"/>
      <c r="D37" s="683"/>
      <c r="E37" s="684"/>
      <c r="F37" s="684"/>
      <c r="G37" s="684"/>
      <c r="H37" s="684"/>
      <c r="I37" s="684"/>
      <c r="J37" s="685"/>
      <c r="L37" s="31"/>
      <c r="M37" s="692"/>
      <c r="N37" s="693"/>
      <c r="O37" s="693"/>
      <c r="P37" s="693"/>
      <c r="Q37" s="694"/>
      <c r="S37" s="31"/>
      <c r="T37" s="701"/>
      <c r="U37" s="702"/>
      <c r="V37" s="702"/>
      <c r="W37" s="702"/>
      <c r="X37" s="703"/>
      <c r="Y37" s="708"/>
      <c r="Z37" s="29"/>
      <c r="AA37" s="31"/>
      <c r="AB37" s="713"/>
      <c r="AC37" s="714"/>
      <c r="AD37" s="714"/>
      <c r="AE37" s="714"/>
      <c r="AF37" s="715"/>
    </row>
    <row r="38" spans="1:32" ht="21" customHeight="1" x14ac:dyDescent="0.25">
      <c r="A38" s="32"/>
      <c r="B38" s="80"/>
      <c r="C38" s="40"/>
      <c r="D38" s="686"/>
      <c r="E38" s="687"/>
      <c r="F38" s="687"/>
      <c r="G38" s="687"/>
      <c r="H38" s="687"/>
      <c r="I38" s="687"/>
      <c r="J38" s="688"/>
      <c r="L38" s="32"/>
      <c r="M38" s="695"/>
      <c r="N38" s="696"/>
      <c r="O38" s="696"/>
      <c r="P38" s="696"/>
      <c r="Q38" s="697"/>
      <c r="S38" s="32"/>
      <c r="T38" s="704"/>
      <c r="U38" s="705"/>
      <c r="V38" s="705"/>
      <c r="W38" s="705"/>
      <c r="X38" s="706"/>
      <c r="Y38" s="709"/>
      <c r="Z38" s="29"/>
      <c r="AA38" s="32"/>
      <c r="AB38" s="716"/>
      <c r="AC38" s="717"/>
      <c r="AD38" s="717"/>
      <c r="AE38" s="717"/>
      <c r="AF38" s="718"/>
    </row>
    <row r="39" spans="1:32" ht="21" customHeight="1" x14ac:dyDescent="0.25">
      <c r="A39" s="30">
        <v>13</v>
      </c>
      <c r="B39" s="79" t="s">
        <v>39</v>
      </c>
      <c r="C39" s="26" t="s">
        <v>109</v>
      </c>
      <c r="D39" s="680" t="s">
        <v>110</v>
      </c>
      <c r="E39" s="681"/>
      <c r="F39" s="681"/>
      <c r="G39" s="681"/>
      <c r="H39" s="681"/>
      <c r="I39" s="681"/>
      <c r="J39" s="682"/>
      <c r="L39" s="30">
        <v>13</v>
      </c>
      <c r="M39" s="689" t="s">
        <v>111</v>
      </c>
      <c r="N39" s="690"/>
      <c r="O39" s="690"/>
      <c r="P39" s="690"/>
      <c r="Q39" s="691"/>
      <c r="S39" s="30">
        <v>13</v>
      </c>
      <c r="T39" s="698" t="s">
        <v>112</v>
      </c>
      <c r="U39" s="699"/>
      <c r="V39" s="699"/>
      <c r="W39" s="699"/>
      <c r="X39" s="700"/>
      <c r="Y39" s="707" t="s">
        <v>113</v>
      </c>
      <c r="AA39" s="30">
        <v>13</v>
      </c>
      <c r="AB39" s="710" t="s">
        <v>114</v>
      </c>
      <c r="AC39" s="711"/>
      <c r="AD39" s="711"/>
      <c r="AE39" s="711"/>
      <c r="AF39" s="712"/>
    </row>
    <row r="40" spans="1:32" ht="21" customHeight="1" x14ac:dyDescent="0.25">
      <c r="A40" s="31"/>
      <c r="B40" s="80"/>
      <c r="C40" s="40"/>
      <c r="D40" s="683"/>
      <c r="E40" s="684"/>
      <c r="F40" s="684"/>
      <c r="G40" s="684"/>
      <c r="H40" s="684"/>
      <c r="I40" s="684"/>
      <c r="J40" s="685"/>
      <c r="L40" s="31"/>
      <c r="M40" s="692"/>
      <c r="N40" s="693"/>
      <c r="O40" s="693"/>
      <c r="P40" s="693"/>
      <c r="Q40" s="694"/>
      <c r="S40" s="31"/>
      <c r="T40" s="701"/>
      <c r="U40" s="702"/>
      <c r="V40" s="702"/>
      <c r="W40" s="702"/>
      <c r="X40" s="703"/>
      <c r="Y40" s="708"/>
      <c r="Z40" s="29"/>
      <c r="AA40" s="31"/>
      <c r="AB40" s="713"/>
      <c r="AC40" s="714"/>
      <c r="AD40" s="714"/>
      <c r="AE40" s="714"/>
      <c r="AF40" s="715"/>
    </row>
    <row r="41" spans="1:32" ht="21" customHeight="1" x14ac:dyDescent="0.25">
      <c r="A41" s="32"/>
      <c r="B41" s="80"/>
      <c r="C41" s="40"/>
      <c r="D41" s="686"/>
      <c r="E41" s="687"/>
      <c r="F41" s="687"/>
      <c r="G41" s="687"/>
      <c r="H41" s="687"/>
      <c r="I41" s="687"/>
      <c r="J41" s="688"/>
      <c r="L41" s="32"/>
      <c r="M41" s="695"/>
      <c r="N41" s="696"/>
      <c r="O41" s="696"/>
      <c r="P41" s="696"/>
      <c r="Q41" s="697"/>
      <c r="S41" s="32"/>
      <c r="T41" s="704"/>
      <c r="U41" s="705"/>
      <c r="V41" s="705"/>
      <c r="W41" s="705"/>
      <c r="X41" s="706"/>
      <c r="Y41" s="709"/>
      <c r="Z41" s="29"/>
      <c r="AA41" s="32"/>
      <c r="AB41" s="716"/>
      <c r="AC41" s="717"/>
      <c r="AD41" s="717"/>
      <c r="AE41" s="717"/>
      <c r="AF41" s="718"/>
    </row>
    <row r="42" spans="1:32" ht="21" customHeight="1" x14ac:dyDescent="0.25">
      <c r="A42" s="30">
        <v>14</v>
      </c>
      <c r="B42" s="79" t="s">
        <v>39</v>
      </c>
      <c r="C42" s="26" t="s">
        <v>115</v>
      </c>
      <c r="D42" s="680" t="s">
        <v>116</v>
      </c>
      <c r="E42" s="681"/>
      <c r="F42" s="681"/>
      <c r="G42" s="681"/>
      <c r="H42" s="681"/>
      <c r="I42" s="681"/>
      <c r="J42" s="682"/>
      <c r="L42" s="30">
        <v>14</v>
      </c>
      <c r="M42" s="689" t="s">
        <v>117</v>
      </c>
      <c r="N42" s="690"/>
      <c r="O42" s="690"/>
      <c r="P42" s="690"/>
      <c r="Q42" s="691"/>
      <c r="S42" s="30">
        <v>14</v>
      </c>
      <c r="T42" s="698" t="s">
        <v>118</v>
      </c>
      <c r="U42" s="699"/>
      <c r="V42" s="699"/>
      <c r="W42" s="699"/>
      <c r="X42" s="700"/>
      <c r="Y42" s="707" t="s">
        <v>119</v>
      </c>
      <c r="AA42" s="30">
        <v>14</v>
      </c>
      <c r="AB42" s="710" t="s">
        <v>120</v>
      </c>
      <c r="AC42" s="711"/>
      <c r="AD42" s="711"/>
      <c r="AE42" s="711"/>
      <c r="AF42" s="712"/>
    </row>
    <row r="43" spans="1:32" ht="21" customHeight="1" x14ac:dyDescent="0.25">
      <c r="A43" s="31"/>
      <c r="B43" s="80"/>
      <c r="C43" s="40"/>
      <c r="D43" s="683"/>
      <c r="E43" s="684"/>
      <c r="F43" s="684"/>
      <c r="G43" s="684"/>
      <c r="H43" s="684"/>
      <c r="I43" s="684"/>
      <c r="J43" s="685"/>
      <c r="L43" s="31"/>
      <c r="M43" s="692"/>
      <c r="N43" s="693"/>
      <c r="O43" s="693"/>
      <c r="P43" s="693"/>
      <c r="Q43" s="694"/>
      <c r="S43" s="31"/>
      <c r="T43" s="701"/>
      <c r="U43" s="702"/>
      <c r="V43" s="702"/>
      <c r="W43" s="702"/>
      <c r="X43" s="703"/>
      <c r="Y43" s="708"/>
      <c r="Z43" s="29"/>
      <c r="AA43" s="31"/>
      <c r="AB43" s="713"/>
      <c r="AC43" s="714"/>
      <c r="AD43" s="714"/>
      <c r="AE43" s="714"/>
      <c r="AF43" s="715"/>
    </row>
    <row r="44" spans="1:32" ht="21" customHeight="1" x14ac:dyDescent="0.25">
      <c r="A44" s="32"/>
      <c r="B44" s="80"/>
      <c r="C44" s="40"/>
      <c r="D44" s="686"/>
      <c r="E44" s="687"/>
      <c r="F44" s="687"/>
      <c r="G44" s="687"/>
      <c r="H44" s="687"/>
      <c r="I44" s="687"/>
      <c r="J44" s="688"/>
      <c r="L44" s="32"/>
      <c r="M44" s="695"/>
      <c r="N44" s="696"/>
      <c r="O44" s="696"/>
      <c r="P44" s="696"/>
      <c r="Q44" s="697"/>
      <c r="S44" s="32"/>
      <c r="T44" s="704"/>
      <c r="U44" s="705"/>
      <c r="V44" s="705"/>
      <c r="W44" s="705"/>
      <c r="X44" s="706"/>
      <c r="Y44" s="709"/>
      <c r="Z44" s="29"/>
      <c r="AA44" s="32"/>
      <c r="AB44" s="716"/>
      <c r="AC44" s="717"/>
      <c r="AD44" s="717"/>
      <c r="AE44" s="717"/>
      <c r="AF44" s="718"/>
    </row>
    <row r="45" spans="1:32" ht="21" customHeight="1" x14ac:dyDescent="0.25">
      <c r="A45" s="30">
        <v>15</v>
      </c>
      <c r="B45" s="79" t="s">
        <v>39</v>
      </c>
      <c r="C45" s="26" t="s">
        <v>121</v>
      </c>
      <c r="D45" s="680" t="s">
        <v>122</v>
      </c>
      <c r="E45" s="681"/>
      <c r="F45" s="681"/>
      <c r="G45" s="681"/>
      <c r="H45" s="681"/>
      <c r="I45" s="681"/>
      <c r="J45" s="682"/>
      <c r="L45" s="30">
        <v>15</v>
      </c>
      <c r="M45" s="689" t="s">
        <v>89</v>
      </c>
      <c r="N45" s="690"/>
      <c r="O45" s="690"/>
      <c r="P45" s="690"/>
      <c r="Q45" s="691"/>
      <c r="S45" s="30">
        <v>15</v>
      </c>
      <c r="T45" s="698" t="s">
        <v>123</v>
      </c>
      <c r="U45" s="699"/>
      <c r="V45" s="699"/>
      <c r="W45" s="699"/>
      <c r="X45" s="700"/>
      <c r="Y45" s="707" t="s">
        <v>91</v>
      </c>
      <c r="AA45" s="30">
        <v>15</v>
      </c>
      <c r="AB45" s="710" t="s">
        <v>124</v>
      </c>
      <c r="AC45" s="711"/>
      <c r="AD45" s="711"/>
      <c r="AE45" s="711"/>
      <c r="AF45" s="712"/>
    </row>
    <row r="46" spans="1:32" ht="21" customHeight="1" x14ac:dyDescent="0.25">
      <c r="A46" s="31"/>
      <c r="B46" s="80"/>
      <c r="C46" s="40"/>
      <c r="D46" s="683"/>
      <c r="E46" s="684"/>
      <c r="F46" s="684"/>
      <c r="G46" s="684"/>
      <c r="H46" s="684"/>
      <c r="I46" s="684"/>
      <c r="J46" s="685"/>
      <c r="L46" s="31"/>
      <c r="M46" s="692"/>
      <c r="N46" s="693"/>
      <c r="O46" s="693"/>
      <c r="P46" s="693"/>
      <c r="Q46" s="694"/>
      <c r="S46" s="31"/>
      <c r="T46" s="701"/>
      <c r="U46" s="702"/>
      <c r="V46" s="702"/>
      <c r="W46" s="702"/>
      <c r="X46" s="703"/>
      <c r="Y46" s="708"/>
      <c r="Z46" s="29"/>
      <c r="AA46" s="31"/>
      <c r="AB46" s="713"/>
      <c r="AC46" s="714"/>
      <c r="AD46" s="714"/>
      <c r="AE46" s="714"/>
      <c r="AF46" s="715"/>
    </row>
    <row r="47" spans="1:32" ht="21" customHeight="1" x14ac:dyDescent="0.25">
      <c r="A47" s="32"/>
      <c r="B47" s="80"/>
      <c r="C47" s="40"/>
      <c r="D47" s="686"/>
      <c r="E47" s="687"/>
      <c r="F47" s="687"/>
      <c r="G47" s="687"/>
      <c r="H47" s="687"/>
      <c r="I47" s="687"/>
      <c r="J47" s="688"/>
      <c r="L47" s="32"/>
      <c r="M47" s="695"/>
      <c r="N47" s="696"/>
      <c r="O47" s="696"/>
      <c r="P47" s="696"/>
      <c r="Q47" s="697"/>
      <c r="S47" s="32"/>
      <c r="T47" s="704"/>
      <c r="U47" s="705"/>
      <c r="V47" s="705"/>
      <c r="W47" s="705"/>
      <c r="X47" s="706"/>
      <c r="Y47" s="709"/>
      <c r="Z47" s="29"/>
      <c r="AA47" s="32"/>
      <c r="AB47" s="716"/>
      <c r="AC47" s="717"/>
      <c r="AD47" s="717"/>
      <c r="AE47" s="717"/>
      <c r="AF47" s="718"/>
    </row>
    <row r="48" spans="1:32" ht="21" customHeight="1" x14ac:dyDescent="0.25">
      <c r="A48" s="30">
        <v>16</v>
      </c>
      <c r="B48" s="79" t="s">
        <v>39</v>
      </c>
      <c r="C48" s="26" t="s">
        <v>125</v>
      </c>
      <c r="D48" s="680" t="s">
        <v>126</v>
      </c>
      <c r="E48" s="681"/>
      <c r="F48" s="681"/>
      <c r="G48" s="681"/>
      <c r="H48" s="681"/>
      <c r="I48" s="681"/>
      <c r="J48" s="682"/>
      <c r="L48" s="30">
        <v>16</v>
      </c>
      <c r="M48" s="689" t="s">
        <v>127</v>
      </c>
      <c r="N48" s="690"/>
      <c r="O48" s="690"/>
      <c r="P48" s="690"/>
      <c r="Q48" s="691"/>
      <c r="S48" s="30">
        <v>16</v>
      </c>
      <c r="T48" s="698" t="s">
        <v>128</v>
      </c>
      <c r="U48" s="699"/>
      <c r="V48" s="699"/>
      <c r="W48" s="699"/>
      <c r="X48" s="700"/>
      <c r="Y48" s="707" t="s">
        <v>129</v>
      </c>
      <c r="AA48" s="30">
        <v>16</v>
      </c>
      <c r="AB48" s="710" t="s">
        <v>130</v>
      </c>
      <c r="AC48" s="711"/>
      <c r="AD48" s="711"/>
      <c r="AE48" s="711"/>
      <c r="AF48" s="712"/>
    </row>
    <row r="49" spans="1:32" ht="21" customHeight="1" x14ac:dyDescent="0.25">
      <c r="A49" s="31"/>
      <c r="B49" s="80"/>
      <c r="C49" s="40"/>
      <c r="D49" s="683"/>
      <c r="E49" s="684"/>
      <c r="F49" s="684"/>
      <c r="G49" s="684"/>
      <c r="H49" s="684"/>
      <c r="I49" s="684"/>
      <c r="J49" s="685"/>
      <c r="L49" s="31"/>
      <c r="M49" s="692"/>
      <c r="N49" s="693"/>
      <c r="O49" s="693"/>
      <c r="P49" s="693"/>
      <c r="Q49" s="694"/>
      <c r="S49" s="31"/>
      <c r="T49" s="701"/>
      <c r="U49" s="702"/>
      <c r="V49" s="702"/>
      <c r="W49" s="702"/>
      <c r="X49" s="703"/>
      <c r="Y49" s="708"/>
      <c r="Z49" s="29"/>
      <c r="AA49" s="31"/>
      <c r="AB49" s="713"/>
      <c r="AC49" s="714"/>
      <c r="AD49" s="714"/>
      <c r="AE49" s="714"/>
      <c r="AF49" s="715"/>
    </row>
    <row r="50" spans="1:32" ht="21" customHeight="1" x14ac:dyDescent="0.25">
      <c r="A50" s="32"/>
      <c r="B50" s="80"/>
      <c r="C50" s="40"/>
      <c r="D50" s="686"/>
      <c r="E50" s="687"/>
      <c r="F50" s="687"/>
      <c r="G50" s="687"/>
      <c r="H50" s="687"/>
      <c r="I50" s="687"/>
      <c r="J50" s="688"/>
      <c r="L50" s="32"/>
      <c r="M50" s="695"/>
      <c r="N50" s="696"/>
      <c r="O50" s="696"/>
      <c r="P50" s="696"/>
      <c r="Q50" s="697"/>
      <c r="S50" s="32"/>
      <c r="T50" s="704"/>
      <c r="U50" s="705"/>
      <c r="V50" s="705"/>
      <c r="W50" s="705"/>
      <c r="X50" s="706"/>
      <c r="Y50" s="709"/>
      <c r="Z50" s="29"/>
      <c r="AA50" s="32"/>
      <c r="AB50" s="716"/>
      <c r="AC50" s="717"/>
      <c r="AD50" s="717"/>
      <c r="AE50" s="717"/>
      <c r="AF50" s="718"/>
    </row>
    <row r="51" spans="1:32" ht="21" customHeight="1" x14ac:dyDescent="0.25">
      <c r="A51" s="30">
        <v>17</v>
      </c>
      <c r="B51" s="79" t="s">
        <v>39</v>
      </c>
      <c r="C51" s="26" t="s">
        <v>131</v>
      </c>
      <c r="D51" s="680" t="s">
        <v>132</v>
      </c>
      <c r="E51" s="681"/>
      <c r="F51" s="681"/>
      <c r="G51" s="681"/>
      <c r="H51" s="681"/>
      <c r="I51" s="681"/>
      <c r="J51" s="682"/>
      <c r="L51" s="30">
        <v>17</v>
      </c>
      <c r="M51" s="689" t="s">
        <v>133</v>
      </c>
      <c r="N51" s="690"/>
      <c r="O51" s="690"/>
      <c r="P51" s="690"/>
      <c r="Q51" s="691"/>
      <c r="S51" s="30">
        <v>17</v>
      </c>
      <c r="T51" s="698" t="s">
        <v>134</v>
      </c>
      <c r="U51" s="699"/>
      <c r="V51" s="699"/>
      <c r="W51" s="699"/>
      <c r="X51" s="700"/>
      <c r="Y51" s="707" t="s">
        <v>135</v>
      </c>
      <c r="AA51" s="30">
        <v>17</v>
      </c>
      <c r="AB51" s="710" t="s">
        <v>136</v>
      </c>
      <c r="AC51" s="711"/>
      <c r="AD51" s="711"/>
      <c r="AE51" s="711"/>
      <c r="AF51" s="712"/>
    </row>
    <row r="52" spans="1:32" ht="21" customHeight="1" x14ac:dyDescent="0.25">
      <c r="A52" s="31"/>
      <c r="B52" s="80"/>
      <c r="C52" s="40"/>
      <c r="D52" s="683"/>
      <c r="E52" s="684"/>
      <c r="F52" s="684"/>
      <c r="G52" s="684"/>
      <c r="H52" s="684"/>
      <c r="I52" s="684"/>
      <c r="J52" s="685"/>
      <c r="L52" s="31"/>
      <c r="M52" s="692"/>
      <c r="N52" s="693"/>
      <c r="O52" s="693"/>
      <c r="P52" s="693"/>
      <c r="Q52" s="694"/>
      <c r="S52" s="31"/>
      <c r="T52" s="701"/>
      <c r="U52" s="702"/>
      <c r="V52" s="702"/>
      <c r="W52" s="702"/>
      <c r="X52" s="703"/>
      <c r="Y52" s="708"/>
      <c r="Z52" s="29"/>
      <c r="AA52" s="31"/>
      <c r="AB52" s="713"/>
      <c r="AC52" s="714"/>
      <c r="AD52" s="714"/>
      <c r="AE52" s="714"/>
      <c r="AF52" s="715"/>
    </row>
    <row r="53" spans="1:32" ht="21" customHeight="1" x14ac:dyDescent="0.25">
      <c r="A53" s="32"/>
      <c r="B53" s="80"/>
      <c r="C53" s="40"/>
      <c r="D53" s="686"/>
      <c r="E53" s="687"/>
      <c r="F53" s="687"/>
      <c r="G53" s="687"/>
      <c r="H53" s="687"/>
      <c r="I53" s="687"/>
      <c r="J53" s="688"/>
      <c r="L53" s="32"/>
      <c r="M53" s="695"/>
      <c r="N53" s="696"/>
      <c r="O53" s="696"/>
      <c r="P53" s="696"/>
      <c r="Q53" s="697"/>
      <c r="S53" s="32"/>
      <c r="T53" s="704"/>
      <c r="U53" s="705"/>
      <c r="V53" s="705"/>
      <c r="W53" s="705"/>
      <c r="X53" s="706"/>
      <c r="Y53" s="709"/>
      <c r="Z53" s="29"/>
      <c r="AA53" s="32"/>
      <c r="AB53" s="716"/>
      <c r="AC53" s="717"/>
      <c r="AD53" s="717"/>
      <c r="AE53" s="717"/>
      <c r="AF53" s="718"/>
    </row>
    <row r="54" spans="1:32" ht="21" customHeight="1" x14ac:dyDescent="0.25">
      <c r="A54" s="30">
        <v>18</v>
      </c>
      <c r="B54" s="79" t="s">
        <v>39</v>
      </c>
      <c r="C54" s="26" t="s">
        <v>131</v>
      </c>
      <c r="D54" s="680" t="s">
        <v>137</v>
      </c>
      <c r="E54" s="681"/>
      <c r="F54" s="681"/>
      <c r="G54" s="681"/>
      <c r="H54" s="681"/>
      <c r="I54" s="681"/>
      <c r="J54" s="682"/>
      <c r="L54" s="30">
        <v>18</v>
      </c>
      <c r="M54" s="689" t="s">
        <v>138</v>
      </c>
      <c r="N54" s="690"/>
      <c r="O54" s="690"/>
      <c r="P54" s="690"/>
      <c r="Q54" s="691"/>
      <c r="S54" s="30">
        <v>18</v>
      </c>
      <c r="T54" s="698" t="s">
        <v>134</v>
      </c>
      <c r="U54" s="699"/>
      <c r="V54" s="699"/>
      <c r="W54" s="699"/>
      <c r="X54" s="700"/>
      <c r="Y54" s="707" t="s">
        <v>139</v>
      </c>
      <c r="AA54" s="30">
        <v>18</v>
      </c>
      <c r="AB54" s="710" t="s">
        <v>140</v>
      </c>
      <c r="AC54" s="711"/>
      <c r="AD54" s="711"/>
      <c r="AE54" s="711"/>
      <c r="AF54" s="712"/>
    </row>
    <row r="55" spans="1:32" ht="21" customHeight="1" x14ac:dyDescent="0.25">
      <c r="A55" s="31"/>
      <c r="B55" s="80"/>
      <c r="C55" s="40"/>
      <c r="D55" s="683"/>
      <c r="E55" s="684"/>
      <c r="F55" s="684"/>
      <c r="G55" s="684"/>
      <c r="H55" s="684"/>
      <c r="I55" s="684"/>
      <c r="J55" s="685"/>
      <c r="L55" s="31"/>
      <c r="M55" s="692"/>
      <c r="N55" s="693"/>
      <c r="O55" s="693"/>
      <c r="P55" s="693"/>
      <c r="Q55" s="694"/>
      <c r="S55" s="31"/>
      <c r="T55" s="701"/>
      <c r="U55" s="702"/>
      <c r="V55" s="702"/>
      <c r="W55" s="702"/>
      <c r="X55" s="703"/>
      <c r="Y55" s="708"/>
      <c r="Z55" s="29"/>
      <c r="AA55" s="31"/>
      <c r="AB55" s="713"/>
      <c r="AC55" s="714"/>
      <c r="AD55" s="714"/>
      <c r="AE55" s="714"/>
      <c r="AF55" s="715"/>
    </row>
    <row r="56" spans="1:32" ht="21" customHeight="1" x14ac:dyDescent="0.25">
      <c r="A56" s="32"/>
      <c r="B56" s="80"/>
      <c r="C56" s="40"/>
      <c r="D56" s="686"/>
      <c r="E56" s="687"/>
      <c r="F56" s="687"/>
      <c r="G56" s="687"/>
      <c r="H56" s="687"/>
      <c r="I56" s="687"/>
      <c r="J56" s="688"/>
      <c r="L56" s="32"/>
      <c r="M56" s="695"/>
      <c r="N56" s="696"/>
      <c r="O56" s="696"/>
      <c r="P56" s="696"/>
      <c r="Q56" s="697"/>
      <c r="S56" s="32"/>
      <c r="T56" s="704"/>
      <c r="U56" s="705"/>
      <c r="V56" s="705"/>
      <c r="W56" s="705"/>
      <c r="X56" s="706"/>
      <c r="Y56" s="709"/>
      <c r="Z56" s="29"/>
      <c r="AA56" s="32"/>
      <c r="AB56" s="716"/>
      <c r="AC56" s="717"/>
      <c r="AD56" s="717"/>
      <c r="AE56" s="717"/>
      <c r="AF56" s="718"/>
    </row>
    <row r="57" spans="1:32" ht="21" customHeight="1" x14ac:dyDescent="0.25">
      <c r="A57" s="30">
        <v>19</v>
      </c>
      <c r="B57" s="79" t="s">
        <v>39</v>
      </c>
      <c r="C57" s="26" t="s">
        <v>141</v>
      </c>
      <c r="D57" s="680" t="s">
        <v>142</v>
      </c>
      <c r="E57" s="681"/>
      <c r="F57" s="681"/>
      <c r="G57" s="681"/>
      <c r="H57" s="681"/>
      <c r="I57" s="681"/>
      <c r="J57" s="682"/>
      <c r="L57" s="30">
        <v>19</v>
      </c>
      <c r="M57" s="689" t="s">
        <v>67</v>
      </c>
      <c r="N57" s="690"/>
      <c r="O57" s="690"/>
      <c r="P57" s="690"/>
      <c r="Q57" s="691"/>
      <c r="S57" s="30">
        <v>19</v>
      </c>
      <c r="T57" s="698" t="s">
        <v>143</v>
      </c>
      <c r="U57" s="699"/>
      <c r="V57" s="699"/>
      <c r="W57" s="699"/>
      <c r="X57" s="700"/>
      <c r="Y57" s="707" t="s">
        <v>69</v>
      </c>
      <c r="AA57" s="30">
        <v>19</v>
      </c>
      <c r="AB57" s="710" t="s">
        <v>144</v>
      </c>
      <c r="AC57" s="711"/>
      <c r="AD57" s="711"/>
      <c r="AE57" s="711"/>
      <c r="AF57" s="712"/>
    </row>
    <row r="58" spans="1:32" ht="21" customHeight="1" x14ac:dyDescent="0.25">
      <c r="A58" s="31"/>
      <c r="B58" s="80"/>
      <c r="C58" s="40"/>
      <c r="D58" s="683"/>
      <c r="E58" s="684"/>
      <c r="F58" s="684"/>
      <c r="G58" s="684"/>
      <c r="H58" s="684"/>
      <c r="I58" s="684"/>
      <c r="J58" s="685"/>
      <c r="L58" s="31"/>
      <c r="M58" s="692"/>
      <c r="N58" s="693"/>
      <c r="O58" s="693"/>
      <c r="P58" s="693"/>
      <c r="Q58" s="694"/>
      <c r="S58" s="31"/>
      <c r="T58" s="701"/>
      <c r="U58" s="702"/>
      <c r="V58" s="702"/>
      <c r="W58" s="702"/>
      <c r="X58" s="703"/>
      <c r="Y58" s="708"/>
      <c r="Z58" s="29"/>
      <c r="AA58" s="31"/>
      <c r="AB58" s="713"/>
      <c r="AC58" s="714"/>
      <c r="AD58" s="714"/>
      <c r="AE58" s="714"/>
      <c r="AF58" s="715"/>
    </row>
    <row r="59" spans="1:32" ht="21" customHeight="1" x14ac:dyDescent="0.25">
      <c r="A59" s="32"/>
      <c r="B59" s="80"/>
      <c r="C59" s="40"/>
      <c r="D59" s="686"/>
      <c r="E59" s="687"/>
      <c r="F59" s="687"/>
      <c r="G59" s="687"/>
      <c r="H59" s="687"/>
      <c r="I59" s="687"/>
      <c r="J59" s="688"/>
      <c r="L59" s="32"/>
      <c r="M59" s="695"/>
      <c r="N59" s="696"/>
      <c r="O59" s="696"/>
      <c r="P59" s="696"/>
      <c r="Q59" s="697"/>
      <c r="S59" s="32"/>
      <c r="T59" s="704"/>
      <c r="U59" s="705"/>
      <c r="V59" s="705"/>
      <c r="W59" s="705"/>
      <c r="X59" s="706"/>
      <c r="Y59" s="709"/>
      <c r="Z59" s="29"/>
      <c r="AA59" s="32"/>
      <c r="AB59" s="716"/>
      <c r="AC59" s="717"/>
      <c r="AD59" s="717"/>
      <c r="AE59" s="717"/>
      <c r="AF59" s="718"/>
    </row>
    <row r="60" spans="1:32" ht="21" customHeight="1" x14ac:dyDescent="0.25">
      <c r="A60" s="30">
        <v>20</v>
      </c>
      <c r="B60" s="79" t="s">
        <v>39</v>
      </c>
      <c r="C60" s="26" t="s">
        <v>145</v>
      </c>
      <c r="D60" s="680" t="s">
        <v>146</v>
      </c>
      <c r="E60" s="681"/>
      <c r="F60" s="681"/>
      <c r="G60" s="681"/>
      <c r="H60" s="681"/>
      <c r="I60" s="681"/>
      <c r="J60" s="682"/>
      <c r="L60" s="30">
        <v>20</v>
      </c>
      <c r="M60" s="689" t="s">
        <v>147</v>
      </c>
      <c r="N60" s="690"/>
      <c r="O60" s="690"/>
      <c r="P60" s="690"/>
      <c r="Q60" s="691"/>
      <c r="S60" s="30">
        <v>20</v>
      </c>
      <c r="T60" s="698" t="s">
        <v>148</v>
      </c>
      <c r="U60" s="699"/>
      <c r="V60" s="699"/>
      <c r="W60" s="699"/>
      <c r="X60" s="700"/>
      <c r="Y60" s="707" t="s">
        <v>149</v>
      </c>
      <c r="AA60" s="30">
        <v>20</v>
      </c>
      <c r="AB60" s="710" t="s">
        <v>150</v>
      </c>
      <c r="AC60" s="711"/>
      <c r="AD60" s="711"/>
      <c r="AE60" s="711"/>
      <c r="AF60" s="712"/>
    </row>
    <row r="61" spans="1:32" ht="21" customHeight="1" x14ac:dyDescent="0.25">
      <c r="A61" s="31"/>
      <c r="B61" s="80"/>
      <c r="C61" s="40"/>
      <c r="D61" s="683"/>
      <c r="E61" s="684"/>
      <c r="F61" s="684"/>
      <c r="G61" s="684"/>
      <c r="H61" s="684"/>
      <c r="I61" s="684"/>
      <c r="J61" s="685"/>
      <c r="L61" s="31"/>
      <c r="M61" s="692"/>
      <c r="N61" s="693"/>
      <c r="O61" s="693"/>
      <c r="P61" s="693"/>
      <c r="Q61" s="694"/>
      <c r="S61" s="31"/>
      <c r="T61" s="701"/>
      <c r="U61" s="702"/>
      <c r="V61" s="702"/>
      <c r="W61" s="702"/>
      <c r="X61" s="703"/>
      <c r="Y61" s="708"/>
      <c r="Z61" s="29"/>
      <c r="AA61" s="31"/>
      <c r="AB61" s="713"/>
      <c r="AC61" s="714"/>
      <c r="AD61" s="714"/>
      <c r="AE61" s="714"/>
      <c r="AF61" s="715"/>
    </row>
    <row r="62" spans="1:32" ht="21" customHeight="1" x14ac:dyDescent="0.25">
      <c r="A62" s="32"/>
      <c r="B62" s="80"/>
      <c r="C62" s="40"/>
      <c r="D62" s="686"/>
      <c r="E62" s="687"/>
      <c r="F62" s="687"/>
      <c r="G62" s="687"/>
      <c r="H62" s="687"/>
      <c r="I62" s="687"/>
      <c r="J62" s="688"/>
      <c r="L62" s="32"/>
      <c r="M62" s="695"/>
      <c r="N62" s="696"/>
      <c r="O62" s="696"/>
      <c r="P62" s="696"/>
      <c r="Q62" s="697"/>
      <c r="S62" s="32"/>
      <c r="T62" s="704"/>
      <c r="U62" s="705"/>
      <c r="V62" s="705"/>
      <c r="W62" s="705"/>
      <c r="X62" s="706"/>
      <c r="Y62" s="709"/>
      <c r="Z62" s="29"/>
      <c r="AA62" s="32"/>
      <c r="AB62" s="716"/>
      <c r="AC62" s="717"/>
      <c r="AD62" s="717"/>
      <c r="AE62" s="717"/>
      <c r="AF62" s="718"/>
    </row>
    <row r="63" spans="1:32" ht="21" customHeight="1" x14ac:dyDescent="0.25">
      <c r="A63" s="30">
        <v>21</v>
      </c>
      <c r="B63" s="79" t="s">
        <v>39</v>
      </c>
      <c r="C63" s="26" t="s">
        <v>151</v>
      </c>
      <c r="D63" s="680" t="s">
        <v>152</v>
      </c>
      <c r="E63" s="681"/>
      <c r="F63" s="681"/>
      <c r="G63" s="681"/>
      <c r="H63" s="681"/>
      <c r="I63" s="681"/>
      <c r="J63" s="682"/>
      <c r="L63" s="30">
        <v>21</v>
      </c>
      <c r="M63" s="689" t="s">
        <v>153</v>
      </c>
      <c r="N63" s="690"/>
      <c r="O63" s="690"/>
      <c r="P63" s="690"/>
      <c r="Q63" s="691"/>
      <c r="S63" s="30">
        <v>21</v>
      </c>
      <c r="T63" s="698" t="s">
        <v>154</v>
      </c>
      <c r="U63" s="699"/>
      <c r="V63" s="699"/>
      <c r="W63" s="699"/>
      <c r="X63" s="700"/>
      <c r="Y63" s="707" t="s">
        <v>155</v>
      </c>
      <c r="AA63" s="30">
        <v>21</v>
      </c>
      <c r="AB63" s="710" t="s">
        <v>156</v>
      </c>
      <c r="AC63" s="711"/>
      <c r="AD63" s="711"/>
      <c r="AE63" s="711"/>
      <c r="AF63" s="712"/>
    </row>
    <row r="64" spans="1:32" ht="21" customHeight="1" x14ac:dyDescent="0.25">
      <c r="A64" s="31"/>
      <c r="B64" s="80"/>
      <c r="C64" s="40"/>
      <c r="D64" s="683"/>
      <c r="E64" s="684"/>
      <c r="F64" s="684"/>
      <c r="G64" s="684"/>
      <c r="H64" s="684"/>
      <c r="I64" s="684"/>
      <c r="J64" s="685"/>
      <c r="L64" s="31"/>
      <c r="M64" s="692"/>
      <c r="N64" s="693"/>
      <c r="O64" s="693"/>
      <c r="P64" s="693"/>
      <c r="Q64" s="694"/>
      <c r="S64" s="31"/>
      <c r="T64" s="701"/>
      <c r="U64" s="702"/>
      <c r="V64" s="702"/>
      <c r="W64" s="702"/>
      <c r="X64" s="703"/>
      <c r="Y64" s="708"/>
      <c r="Z64" s="29"/>
      <c r="AA64" s="31"/>
      <c r="AB64" s="713"/>
      <c r="AC64" s="714"/>
      <c r="AD64" s="714"/>
      <c r="AE64" s="714"/>
      <c r="AF64" s="715"/>
    </row>
    <row r="65" spans="1:32" ht="21" customHeight="1" x14ac:dyDescent="0.25">
      <c r="A65" s="32"/>
      <c r="B65" s="80"/>
      <c r="C65" s="40"/>
      <c r="D65" s="686"/>
      <c r="E65" s="687"/>
      <c r="F65" s="687"/>
      <c r="G65" s="687"/>
      <c r="H65" s="687"/>
      <c r="I65" s="687"/>
      <c r="J65" s="688"/>
      <c r="L65" s="32"/>
      <c r="M65" s="695"/>
      <c r="N65" s="696"/>
      <c r="O65" s="696"/>
      <c r="P65" s="696"/>
      <c r="Q65" s="697"/>
      <c r="S65" s="32"/>
      <c r="T65" s="704"/>
      <c r="U65" s="705"/>
      <c r="V65" s="705"/>
      <c r="W65" s="705"/>
      <c r="X65" s="706"/>
      <c r="Y65" s="709"/>
      <c r="Z65" s="29"/>
      <c r="AA65" s="32"/>
      <c r="AB65" s="716"/>
      <c r="AC65" s="717"/>
      <c r="AD65" s="717"/>
      <c r="AE65" s="717"/>
      <c r="AF65" s="718"/>
    </row>
    <row r="66" spans="1:32" ht="21" customHeight="1" x14ac:dyDescent="0.25">
      <c r="A66" s="30">
        <v>22</v>
      </c>
      <c r="B66" s="79" t="s">
        <v>39</v>
      </c>
      <c r="C66" s="26" t="s">
        <v>151</v>
      </c>
      <c r="D66" s="680" t="s">
        <v>157</v>
      </c>
      <c r="E66" s="681"/>
      <c r="F66" s="681"/>
      <c r="G66" s="681"/>
      <c r="H66" s="681"/>
      <c r="I66" s="681"/>
      <c r="J66" s="682"/>
      <c r="L66" s="30">
        <v>22</v>
      </c>
      <c r="M66" s="689" t="s">
        <v>158</v>
      </c>
      <c r="N66" s="690"/>
      <c r="O66" s="690"/>
      <c r="P66" s="690"/>
      <c r="Q66" s="691"/>
      <c r="S66" s="30">
        <v>22</v>
      </c>
      <c r="T66" s="698" t="s">
        <v>154</v>
      </c>
      <c r="U66" s="699"/>
      <c r="V66" s="699"/>
      <c r="W66" s="699"/>
      <c r="X66" s="700"/>
      <c r="Y66" s="707" t="s">
        <v>159</v>
      </c>
      <c r="AA66" s="30">
        <v>22</v>
      </c>
      <c r="AB66" s="710" t="s">
        <v>160</v>
      </c>
      <c r="AC66" s="711"/>
      <c r="AD66" s="711"/>
      <c r="AE66" s="711"/>
      <c r="AF66" s="712"/>
    </row>
    <row r="67" spans="1:32" ht="21" customHeight="1" x14ac:dyDescent="0.25">
      <c r="A67" s="31"/>
      <c r="B67" s="80"/>
      <c r="C67" s="40"/>
      <c r="D67" s="683"/>
      <c r="E67" s="684"/>
      <c r="F67" s="684"/>
      <c r="G67" s="684"/>
      <c r="H67" s="684"/>
      <c r="I67" s="684"/>
      <c r="J67" s="685"/>
      <c r="L67" s="31"/>
      <c r="M67" s="692"/>
      <c r="N67" s="693"/>
      <c r="O67" s="693"/>
      <c r="P67" s="693"/>
      <c r="Q67" s="694"/>
      <c r="S67" s="31"/>
      <c r="T67" s="701"/>
      <c r="U67" s="702"/>
      <c r="V67" s="702"/>
      <c r="W67" s="702"/>
      <c r="X67" s="703"/>
      <c r="Y67" s="708"/>
      <c r="Z67" s="29"/>
      <c r="AA67" s="31"/>
      <c r="AB67" s="713"/>
      <c r="AC67" s="714"/>
      <c r="AD67" s="714"/>
      <c r="AE67" s="714"/>
      <c r="AF67" s="715"/>
    </row>
    <row r="68" spans="1:32" ht="21" customHeight="1" x14ac:dyDescent="0.25">
      <c r="A68" s="32"/>
      <c r="B68" s="80"/>
      <c r="C68" s="40"/>
      <c r="D68" s="686"/>
      <c r="E68" s="687"/>
      <c r="F68" s="687"/>
      <c r="G68" s="687"/>
      <c r="H68" s="687"/>
      <c r="I68" s="687"/>
      <c r="J68" s="688"/>
      <c r="L68" s="32"/>
      <c r="M68" s="695"/>
      <c r="N68" s="696"/>
      <c r="O68" s="696"/>
      <c r="P68" s="696"/>
      <c r="Q68" s="697"/>
      <c r="S68" s="32"/>
      <c r="T68" s="704"/>
      <c r="U68" s="705"/>
      <c r="V68" s="705"/>
      <c r="W68" s="705"/>
      <c r="X68" s="706"/>
      <c r="Y68" s="709"/>
      <c r="Z68" s="29"/>
      <c r="AA68" s="32"/>
      <c r="AB68" s="716"/>
      <c r="AC68" s="717"/>
      <c r="AD68" s="717"/>
      <c r="AE68" s="717"/>
      <c r="AF68" s="718"/>
    </row>
    <row r="69" spans="1:32" ht="21" customHeight="1" x14ac:dyDescent="0.25">
      <c r="A69" s="30">
        <v>23</v>
      </c>
      <c r="B69" s="79" t="s">
        <v>39</v>
      </c>
      <c r="C69" s="26" t="s">
        <v>161</v>
      </c>
      <c r="D69" s="680" t="s">
        <v>162</v>
      </c>
      <c r="E69" s="681"/>
      <c r="F69" s="681"/>
      <c r="G69" s="681"/>
      <c r="H69" s="681"/>
      <c r="I69" s="681"/>
      <c r="J69" s="682"/>
      <c r="L69" s="30">
        <v>23</v>
      </c>
      <c r="M69" s="689" t="s">
        <v>163</v>
      </c>
      <c r="N69" s="690"/>
      <c r="O69" s="690"/>
      <c r="P69" s="690"/>
      <c r="Q69" s="691"/>
      <c r="S69" s="30">
        <v>23</v>
      </c>
      <c r="T69" s="698" t="s">
        <v>164</v>
      </c>
      <c r="U69" s="699"/>
      <c r="V69" s="699"/>
      <c r="W69" s="699"/>
      <c r="X69" s="700"/>
      <c r="Y69" s="707" t="s">
        <v>165</v>
      </c>
      <c r="AA69" s="30">
        <v>23</v>
      </c>
      <c r="AB69" s="710" t="s">
        <v>166</v>
      </c>
      <c r="AC69" s="711"/>
      <c r="AD69" s="711"/>
      <c r="AE69" s="711"/>
      <c r="AF69" s="712"/>
    </row>
    <row r="70" spans="1:32" ht="21" customHeight="1" x14ac:dyDescent="0.25">
      <c r="A70" s="31"/>
      <c r="B70" s="80"/>
      <c r="C70" s="40"/>
      <c r="D70" s="683"/>
      <c r="E70" s="684"/>
      <c r="F70" s="684"/>
      <c r="G70" s="684"/>
      <c r="H70" s="684"/>
      <c r="I70" s="684"/>
      <c r="J70" s="685"/>
      <c r="L70" s="31"/>
      <c r="M70" s="692"/>
      <c r="N70" s="693"/>
      <c r="O70" s="693"/>
      <c r="P70" s="693"/>
      <c r="Q70" s="694"/>
      <c r="S70" s="31"/>
      <c r="T70" s="701"/>
      <c r="U70" s="702"/>
      <c r="V70" s="702"/>
      <c r="W70" s="702"/>
      <c r="X70" s="703"/>
      <c r="Y70" s="708"/>
      <c r="Z70" s="29"/>
      <c r="AA70" s="31"/>
      <c r="AB70" s="713"/>
      <c r="AC70" s="714"/>
      <c r="AD70" s="714"/>
      <c r="AE70" s="714"/>
      <c r="AF70" s="715"/>
    </row>
    <row r="71" spans="1:32" ht="21" customHeight="1" x14ac:dyDescent="0.25">
      <c r="A71" s="32"/>
      <c r="B71" s="80"/>
      <c r="C71" s="40"/>
      <c r="D71" s="686"/>
      <c r="E71" s="687"/>
      <c r="F71" s="687"/>
      <c r="G71" s="687"/>
      <c r="H71" s="687"/>
      <c r="I71" s="687"/>
      <c r="J71" s="688"/>
      <c r="L71" s="32"/>
      <c r="M71" s="695"/>
      <c r="N71" s="696"/>
      <c r="O71" s="696"/>
      <c r="P71" s="696"/>
      <c r="Q71" s="697"/>
      <c r="S71" s="32"/>
      <c r="T71" s="704"/>
      <c r="U71" s="705"/>
      <c r="V71" s="705"/>
      <c r="W71" s="705"/>
      <c r="X71" s="706"/>
      <c r="Y71" s="709"/>
      <c r="Z71" s="29"/>
      <c r="AA71" s="32"/>
      <c r="AB71" s="716"/>
      <c r="AC71" s="717"/>
      <c r="AD71" s="717"/>
      <c r="AE71" s="717"/>
      <c r="AF71" s="718"/>
    </row>
    <row r="72" spans="1:32" ht="21" customHeight="1" x14ac:dyDescent="0.25">
      <c r="A72" s="30">
        <v>24</v>
      </c>
      <c r="B72" s="79" t="s">
        <v>39</v>
      </c>
      <c r="C72" s="26" t="s">
        <v>167</v>
      </c>
      <c r="D72" s="680" t="s">
        <v>168</v>
      </c>
      <c r="E72" s="681"/>
      <c r="F72" s="681"/>
      <c r="G72" s="681"/>
      <c r="H72" s="681"/>
      <c r="I72" s="681"/>
      <c r="J72" s="682"/>
      <c r="L72" s="30">
        <v>24</v>
      </c>
      <c r="M72" s="689" t="s">
        <v>169</v>
      </c>
      <c r="N72" s="690"/>
      <c r="O72" s="690"/>
      <c r="P72" s="690"/>
      <c r="Q72" s="691"/>
      <c r="S72" s="30">
        <v>24</v>
      </c>
      <c r="T72" s="698" t="s">
        <v>170</v>
      </c>
      <c r="U72" s="699"/>
      <c r="V72" s="699"/>
      <c r="W72" s="699"/>
      <c r="X72" s="700"/>
      <c r="Y72" s="707" t="s">
        <v>171</v>
      </c>
      <c r="AA72" s="30">
        <v>24</v>
      </c>
      <c r="AB72" s="710" t="s">
        <v>172</v>
      </c>
      <c r="AC72" s="711"/>
      <c r="AD72" s="711"/>
      <c r="AE72" s="711"/>
      <c r="AF72" s="712"/>
    </row>
    <row r="73" spans="1:32" ht="21" customHeight="1" x14ac:dyDescent="0.25">
      <c r="A73" s="31"/>
      <c r="B73" s="80"/>
      <c r="C73" s="40"/>
      <c r="D73" s="683"/>
      <c r="E73" s="684"/>
      <c r="F73" s="684"/>
      <c r="G73" s="684"/>
      <c r="H73" s="684"/>
      <c r="I73" s="684"/>
      <c r="J73" s="685"/>
      <c r="L73" s="31"/>
      <c r="M73" s="692"/>
      <c r="N73" s="693"/>
      <c r="O73" s="693"/>
      <c r="P73" s="693"/>
      <c r="Q73" s="694"/>
      <c r="S73" s="31"/>
      <c r="T73" s="701"/>
      <c r="U73" s="702"/>
      <c r="V73" s="702"/>
      <c r="W73" s="702"/>
      <c r="X73" s="703"/>
      <c r="Y73" s="708"/>
      <c r="Z73" s="29"/>
      <c r="AA73" s="31"/>
      <c r="AB73" s="713"/>
      <c r="AC73" s="714"/>
      <c r="AD73" s="714"/>
      <c r="AE73" s="714"/>
      <c r="AF73" s="715"/>
    </row>
    <row r="74" spans="1:32" ht="21" customHeight="1" x14ac:dyDescent="0.25">
      <c r="A74" s="32"/>
      <c r="B74" s="80"/>
      <c r="C74" s="40"/>
      <c r="D74" s="686"/>
      <c r="E74" s="687"/>
      <c r="F74" s="687"/>
      <c r="G74" s="687"/>
      <c r="H74" s="687"/>
      <c r="I74" s="687"/>
      <c r="J74" s="688"/>
      <c r="L74" s="32"/>
      <c r="M74" s="695"/>
      <c r="N74" s="696"/>
      <c r="O74" s="696"/>
      <c r="P74" s="696"/>
      <c r="Q74" s="697"/>
      <c r="S74" s="32"/>
      <c r="T74" s="704"/>
      <c r="U74" s="705"/>
      <c r="V74" s="705"/>
      <c r="W74" s="705"/>
      <c r="X74" s="706"/>
      <c r="Y74" s="709"/>
      <c r="Z74" s="29"/>
      <c r="AA74" s="32"/>
      <c r="AB74" s="716"/>
      <c r="AC74" s="717"/>
      <c r="AD74" s="717"/>
      <c r="AE74" s="717"/>
      <c r="AF74" s="718"/>
    </row>
    <row r="75" spans="1:32" ht="21" customHeight="1" x14ac:dyDescent="0.25">
      <c r="A75" s="30">
        <v>25</v>
      </c>
      <c r="B75" s="79" t="s">
        <v>39</v>
      </c>
      <c r="C75" s="26" t="s">
        <v>173</v>
      </c>
      <c r="D75" s="680" t="s">
        <v>174</v>
      </c>
      <c r="E75" s="681"/>
      <c r="F75" s="681"/>
      <c r="G75" s="681"/>
      <c r="H75" s="681"/>
      <c r="I75" s="681"/>
      <c r="J75" s="682"/>
      <c r="L75" s="30">
        <v>25</v>
      </c>
      <c r="M75" s="689" t="s">
        <v>175</v>
      </c>
      <c r="N75" s="690"/>
      <c r="O75" s="690"/>
      <c r="P75" s="690"/>
      <c r="Q75" s="691"/>
      <c r="S75" s="30">
        <v>25</v>
      </c>
      <c r="T75" s="698" t="s">
        <v>176</v>
      </c>
      <c r="U75" s="699"/>
      <c r="V75" s="699"/>
      <c r="W75" s="699"/>
      <c r="X75" s="700"/>
      <c r="Y75" s="707" t="s">
        <v>177</v>
      </c>
      <c r="AA75" s="30">
        <v>25</v>
      </c>
      <c r="AB75" s="710" t="s">
        <v>178</v>
      </c>
      <c r="AC75" s="711"/>
      <c r="AD75" s="711"/>
      <c r="AE75" s="711"/>
      <c r="AF75" s="712"/>
    </row>
    <row r="76" spans="1:32" ht="21" customHeight="1" x14ac:dyDescent="0.25">
      <c r="A76" s="31"/>
      <c r="B76" s="80"/>
      <c r="C76" s="40"/>
      <c r="D76" s="683"/>
      <c r="E76" s="684"/>
      <c r="F76" s="684"/>
      <c r="G76" s="684"/>
      <c r="H76" s="684"/>
      <c r="I76" s="684"/>
      <c r="J76" s="685"/>
      <c r="L76" s="31"/>
      <c r="M76" s="692"/>
      <c r="N76" s="693"/>
      <c r="O76" s="693"/>
      <c r="P76" s="693"/>
      <c r="Q76" s="694"/>
      <c r="S76" s="31"/>
      <c r="T76" s="701"/>
      <c r="U76" s="702"/>
      <c r="V76" s="702"/>
      <c r="W76" s="702"/>
      <c r="X76" s="703"/>
      <c r="Y76" s="708"/>
      <c r="Z76" s="29"/>
      <c r="AA76" s="31"/>
      <c r="AB76" s="713"/>
      <c r="AC76" s="714"/>
      <c r="AD76" s="714"/>
      <c r="AE76" s="714"/>
      <c r="AF76" s="715"/>
    </row>
    <row r="77" spans="1:32" ht="21" customHeight="1" x14ac:dyDescent="0.25">
      <c r="A77" s="32"/>
      <c r="B77" s="80"/>
      <c r="C77" s="40"/>
      <c r="D77" s="686"/>
      <c r="E77" s="687"/>
      <c r="F77" s="687"/>
      <c r="G77" s="687"/>
      <c r="H77" s="687"/>
      <c r="I77" s="687"/>
      <c r="J77" s="688"/>
      <c r="L77" s="32"/>
      <c r="M77" s="695"/>
      <c r="N77" s="696"/>
      <c r="O77" s="696"/>
      <c r="P77" s="696"/>
      <c r="Q77" s="697"/>
      <c r="S77" s="32"/>
      <c r="T77" s="704"/>
      <c r="U77" s="705"/>
      <c r="V77" s="705"/>
      <c r="W77" s="705"/>
      <c r="X77" s="706"/>
      <c r="Y77" s="709"/>
      <c r="Z77" s="29"/>
      <c r="AA77" s="32"/>
      <c r="AB77" s="716"/>
      <c r="AC77" s="717"/>
      <c r="AD77" s="717"/>
      <c r="AE77" s="717"/>
      <c r="AF77" s="718"/>
    </row>
    <row r="78" spans="1:32" ht="21" customHeight="1" x14ac:dyDescent="0.25">
      <c r="A78" s="30">
        <v>26</v>
      </c>
      <c r="B78" s="79" t="s">
        <v>39</v>
      </c>
      <c r="C78" s="26" t="s">
        <v>179</v>
      </c>
      <c r="D78" s="680" t="s">
        <v>180</v>
      </c>
      <c r="E78" s="681"/>
      <c r="F78" s="681"/>
      <c r="G78" s="681"/>
      <c r="H78" s="681"/>
      <c r="I78" s="681"/>
      <c r="J78" s="682"/>
      <c r="L78" s="30">
        <v>26</v>
      </c>
      <c r="M78" s="689" t="s">
        <v>163</v>
      </c>
      <c r="N78" s="690"/>
      <c r="O78" s="690"/>
      <c r="P78" s="690"/>
      <c r="Q78" s="691"/>
      <c r="S78" s="30">
        <v>26</v>
      </c>
      <c r="T78" s="698" t="s">
        <v>181</v>
      </c>
      <c r="U78" s="699"/>
      <c r="V78" s="699"/>
      <c r="W78" s="699"/>
      <c r="X78" s="700"/>
      <c r="Y78" s="707" t="s">
        <v>165</v>
      </c>
      <c r="AA78" s="30">
        <v>26</v>
      </c>
      <c r="AB78" s="710" t="s">
        <v>182</v>
      </c>
      <c r="AC78" s="711"/>
      <c r="AD78" s="711"/>
      <c r="AE78" s="711"/>
      <c r="AF78" s="712"/>
    </row>
    <row r="79" spans="1:32" ht="21" customHeight="1" x14ac:dyDescent="0.25">
      <c r="A79" s="31"/>
      <c r="B79" s="80"/>
      <c r="C79" s="40"/>
      <c r="D79" s="683"/>
      <c r="E79" s="684"/>
      <c r="F79" s="684"/>
      <c r="G79" s="684"/>
      <c r="H79" s="684"/>
      <c r="I79" s="684"/>
      <c r="J79" s="685"/>
      <c r="L79" s="31"/>
      <c r="M79" s="692"/>
      <c r="N79" s="693"/>
      <c r="O79" s="693"/>
      <c r="P79" s="693"/>
      <c r="Q79" s="694"/>
      <c r="S79" s="31"/>
      <c r="T79" s="701"/>
      <c r="U79" s="702"/>
      <c r="V79" s="702"/>
      <c r="W79" s="702"/>
      <c r="X79" s="703"/>
      <c r="Y79" s="708"/>
      <c r="Z79" s="29"/>
      <c r="AA79" s="31"/>
      <c r="AB79" s="713"/>
      <c r="AC79" s="714"/>
      <c r="AD79" s="714"/>
      <c r="AE79" s="714"/>
      <c r="AF79" s="715"/>
    </row>
    <row r="80" spans="1:32" ht="21" customHeight="1" x14ac:dyDescent="0.25">
      <c r="A80" s="32"/>
      <c r="B80" s="80"/>
      <c r="C80" s="40"/>
      <c r="D80" s="686"/>
      <c r="E80" s="687"/>
      <c r="F80" s="687"/>
      <c r="G80" s="687"/>
      <c r="H80" s="687"/>
      <c r="I80" s="687"/>
      <c r="J80" s="688"/>
      <c r="L80" s="32"/>
      <c r="M80" s="695"/>
      <c r="N80" s="696"/>
      <c r="O80" s="696"/>
      <c r="P80" s="696"/>
      <c r="Q80" s="697"/>
      <c r="S80" s="32"/>
      <c r="T80" s="704"/>
      <c r="U80" s="705"/>
      <c r="V80" s="705"/>
      <c r="W80" s="705"/>
      <c r="X80" s="706"/>
      <c r="Y80" s="709"/>
      <c r="Z80" s="29"/>
      <c r="AA80" s="32"/>
      <c r="AB80" s="716"/>
      <c r="AC80" s="717"/>
      <c r="AD80" s="717"/>
      <c r="AE80" s="717"/>
      <c r="AF80" s="718"/>
    </row>
    <row r="81" spans="1:32" ht="21" customHeight="1" x14ac:dyDescent="0.25">
      <c r="A81" s="30">
        <v>27</v>
      </c>
      <c r="B81" s="79" t="s">
        <v>39</v>
      </c>
      <c r="C81" s="26" t="s">
        <v>183</v>
      </c>
      <c r="D81" s="680" t="s">
        <v>184</v>
      </c>
      <c r="E81" s="681"/>
      <c r="F81" s="681"/>
      <c r="G81" s="681"/>
      <c r="H81" s="681"/>
      <c r="I81" s="681"/>
      <c r="J81" s="682"/>
      <c r="L81" s="30">
        <v>27</v>
      </c>
      <c r="M81" s="689" t="s">
        <v>89</v>
      </c>
      <c r="N81" s="690"/>
      <c r="O81" s="690"/>
      <c r="P81" s="690"/>
      <c r="Q81" s="691"/>
      <c r="S81" s="30">
        <v>27</v>
      </c>
      <c r="T81" s="698" t="s">
        <v>185</v>
      </c>
      <c r="U81" s="699"/>
      <c r="V81" s="699"/>
      <c r="W81" s="699"/>
      <c r="X81" s="700"/>
      <c r="Y81" s="707" t="s">
        <v>91</v>
      </c>
      <c r="AA81" s="30">
        <v>27</v>
      </c>
      <c r="AB81" s="710" t="s">
        <v>186</v>
      </c>
      <c r="AC81" s="711"/>
      <c r="AD81" s="711"/>
      <c r="AE81" s="711"/>
      <c r="AF81" s="712"/>
    </row>
    <row r="82" spans="1:32" ht="21" customHeight="1" x14ac:dyDescent="0.25">
      <c r="A82" s="31"/>
      <c r="B82" s="80"/>
      <c r="C82" s="40"/>
      <c r="D82" s="683"/>
      <c r="E82" s="684"/>
      <c r="F82" s="684"/>
      <c r="G82" s="684"/>
      <c r="H82" s="684"/>
      <c r="I82" s="684"/>
      <c r="J82" s="685"/>
      <c r="L82" s="31"/>
      <c r="M82" s="692"/>
      <c r="N82" s="693"/>
      <c r="O82" s="693"/>
      <c r="P82" s="693"/>
      <c r="Q82" s="694"/>
      <c r="S82" s="31"/>
      <c r="T82" s="701"/>
      <c r="U82" s="702"/>
      <c r="V82" s="702"/>
      <c r="W82" s="702"/>
      <c r="X82" s="703"/>
      <c r="Y82" s="708"/>
      <c r="Z82" s="29"/>
      <c r="AA82" s="31"/>
      <c r="AB82" s="713"/>
      <c r="AC82" s="714"/>
      <c r="AD82" s="714"/>
      <c r="AE82" s="714"/>
      <c r="AF82" s="715"/>
    </row>
    <row r="83" spans="1:32" ht="21" customHeight="1" x14ac:dyDescent="0.25">
      <c r="A83" s="32"/>
      <c r="B83" s="80"/>
      <c r="C83" s="40"/>
      <c r="D83" s="686"/>
      <c r="E83" s="687"/>
      <c r="F83" s="687"/>
      <c r="G83" s="687"/>
      <c r="H83" s="687"/>
      <c r="I83" s="687"/>
      <c r="J83" s="688"/>
      <c r="L83" s="32"/>
      <c r="M83" s="695"/>
      <c r="N83" s="696"/>
      <c r="O83" s="696"/>
      <c r="P83" s="696"/>
      <c r="Q83" s="697"/>
      <c r="S83" s="32"/>
      <c r="T83" s="704"/>
      <c r="U83" s="705"/>
      <c r="V83" s="705"/>
      <c r="W83" s="705"/>
      <c r="X83" s="706"/>
      <c r="Y83" s="709"/>
      <c r="Z83" s="29"/>
      <c r="AA83" s="32"/>
      <c r="AB83" s="716"/>
      <c r="AC83" s="717"/>
      <c r="AD83" s="717"/>
      <c r="AE83" s="717"/>
      <c r="AF83" s="718"/>
    </row>
    <row r="84" spans="1:32" ht="21" customHeight="1" x14ac:dyDescent="0.25">
      <c r="A84" s="30">
        <v>28</v>
      </c>
      <c r="B84" s="79" t="s">
        <v>39</v>
      </c>
      <c r="C84" s="26" t="s">
        <v>187</v>
      </c>
      <c r="D84" s="680" t="s">
        <v>188</v>
      </c>
      <c r="E84" s="681"/>
      <c r="F84" s="681"/>
      <c r="G84" s="681"/>
      <c r="H84" s="681"/>
      <c r="I84" s="681"/>
      <c r="J84" s="682"/>
      <c r="L84" s="30">
        <v>28</v>
      </c>
      <c r="M84" s="689" t="s">
        <v>189</v>
      </c>
      <c r="N84" s="690"/>
      <c r="O84" s="690"/>
      <c r="P84" s="690"/>
      <c r="Q84" s="691"/>
      <c r="S84" s="30">
        <v>28</v>
      </c>
      <c r="T84" s="698" t="s">
        <v>190</v>
      </c>
      <c r="U84" s="699"/>
      <c r="V84" s="699"/>
      <c r="W84" s="699"/>
      <c r="X84" s="700"/>
      <c r="Y84" s="707" t="s">
        <v>191</v>
      </c>
      <c r="AA84" s="30">
        <v>28</v>
      </c>
      <c r="AB84" s="710" t="s">
        <v>192</v>
      </c>
      <c r="AC84" s="711"/>
      <c r="AD84" s="711"/>
      <c r="AE84" s="711"/>
      <c r="AF84" s="712"/>
    </row>
    <row r="85" spans="1:32" ht="21" customHeight="1" x14ac:dyDescent="0.25">
      <c r="A85" s="31"/>
      <c r="B85" s="80"/>
      <c r="C85" s="40"/>
      <c r="D85" s="683"/>
      <c r="E85" s="684"/>
      <c r="F85" s="684"/>
      <c r="G85" s="684"/>
      <c r="H85" s="684"/>
      <c r="I85" s="684"/>
      <c r="J85" s="685"/>
      <c r="L85" s="31"/>
      <c r="M85" s="692"/>
      <c r="N85" s="693"/>
      <c r="O85" s="693"/>
      <c r="P85" s="693"/>
      <c r="Q85" s="694"/>
      <c r="S85" s="31"/>
      <c r="T85" s="701"/>
      <c r="U85" s="702"/>
      <c r="V85" s="702"/>
      <c r="W85" s="702"/>
      <c r="X85" s="703"/>
      <c r="Y85" s="708"/>
      <c r="Z85" s="29"/>
      <c r="AA85" s="31"/>
      <c r="AB85" s="713"/>
      <c r="AC85" s="714"/>
      <c r="AD85" s="714"/>
      <c r="AE85" s="714"/>
      <c r="AF85" s="715"/>
    </row>
    <row r="86" spans="1:32" ht="21" customHeight="1" x14ac:dyDescent="0.25">
      <c r="A86" s="32"/>
      <c r="B86" s="80"/>
      <c r="C86" s="40"/>
      <c r="D86" s="686"/>
      <c r="E86" s="687"/>
      <c r="F86" s="687"/>
      <c r="G86" s="687"/>
      <c r="H86" s="687"/>
      <c r="I86" s="687"/>
      <c r="J86" s="688"/>
      <c r="L86" s="32"/>
      <c r="M86" s="695"/>
      <c r="N86" s="696"/>
      <c r="O86" s="696"/>
      <c r="P86" s="696"/>
      <c r="Q86" s="697"/>
      <c r="S86" s="32"/>
      <c r="T86" s="704"/>
      <c r="U86" s="705"/>
      <c r="V86" s="705"/>
      <c r="W86" s="705"/>
      <c r="X86" s="706"/>
      <c r="Y86" s="709"/>
      <c r="Z86" s="29"/>
      <c r="AA86" s="32"/>
      <c r="AB86" s="716"/>
      <c r="AC86" s="717"/>
      <c r="AD86" s="717"/>
      <c r="AE86" s="717"/>
      <c r="AF86" s="718"/>
    </row>
    <row r="87" spans="1:32" ht="21" customHeight="1" x14ac:dyDescent="0.25">
      <c r="A87" s="30">
        <v>29</v>
      </c>
      <c r="B87" s="79" t="s">
        <v>39</v>
      </c>
      <c r="C87" s="26" t="s">
        <v>193</v>
      </c>
      <c r="D87" s="680" t="s">
        <v>194</v>
      </c>
      <c r="E87" s="681"/>
      <c r="F87" s="681"/>
      <c r="G87" s="681"/>
      <c r="H87" s="681"/>
      <c r="I87" s="681"/>
      <c r="J87" s="682"/>
      <c r="L87" s="30">
        <v>29</v>
      </c>
      <c r="M87" s="689" t="s">
        <v>195</v>
      </c>
      <c r="N87" s="690"/>
      <c r="O87" s="690"/>
      <c r="P87" s="690"/>
      <c r="Q87" s="691"/>
      <c r="S87" s="30">
        <v>29</v>
      </c>
      <c r="T87" s="698" t="s">
        <v>196</v>
      </c>
      <c r="U87" s="699"/>
      <c r="V87" s="699"/>
      <c r="W87" s="699"/>
      <c r="X87" s="700"/>
      <c r="Y87" s="707" t="s">
        <v>197</v>
      </c>
      <c r="AA87" s="30">
        <v>29</v>
      </c>
      <c r="AB87" s="710" t="s">
        <v>198</v>
      </c>
      <c r="AC87" s="711"/>
      <c r="AD87" s="711"/>
      <c r="AE87" s="711"/>
      <c r="AF87" s="712"/>
    </row>
    <row r="88" spans="1:32" ht="21" customHeight="1" x14ac:dyDescent="0.25">
      <c r="A88" s="31"/>
      <c r="B88" s="80"/>
      <c r="C88" s="40"/>
      <c r="D88" s="683"/>
      <c r="E88" s="684"/>
      <c r="F88" s="684"/>
      <c r="G88" s="684"/>
      <c r="H88" s="684"/>
      <c r="I88" s="684"/>
      <c r="J88" s="685"/>
      <c r="L88" s="31"/>
      <c r="M88" s="692"/>
      <c r="N88" s="693"/>
      <c r="O88" s="693"/>
      <c r="P88" s="693"/>
      <c r="Q88" s="694"/>
      <c r="S88" s="31"/>
      <c r="T88" s="701"/>
      <c r="U88" s="702"/>
      <c r="V88" s="702"/>
      <c r="W88" s="702"/>
      <c r="X88" s="703"/>
      <c r="Y88" s="708"/>
      <c r="Z88" s="29"/>
      <c r="AA88" s="31"/>
      <c r="AB88" s="713"/>
      <c r="AC88" s="714"/>
      <c r="AD88" s="714"/>
      <c r="AE88" s="714"/>
      <c r="AF88" s="715"/>
    </row>
    <row r="89" spans="1:32" ht="21" customHeight="1" x14ac:dyDescent="0.25">
      <c r="A89" s="32"/>
      <c r="B89" s="80"/>
      <c r="C89" s="40"/>
      <c r="D89" s="686"/>
      <c r="E89" s="687"/>
      <c r="F89" s="687"/>
      <c r="G89" s="687"/>
      <c r="H89" s="687"/>
      <c r="I89" s="687"/>
      <c r="J89" s="688"/>
      <c r="L89" s="32"/>
      <c r="M89" s="695"/>
      <c r="N89" s="696"/>
      <c r="O89" s="696"/>
      <c r="P89" s="696"/>
      <c r="Q89" s="697"/>
      <c r="S89" s="32"/>
      <c r="T89" s="704"/>
      <c r="U89" s="705"/>
      <c r="V89" s="705"/>
      <c r="W89" s="705"/>
      <c r="X89" s="706"/>
      <c r="Y89" s="709"/>
      <c r="Z89" s="29"/>
      <c r="AA89" s="32"/>
      <c r="AB89" s="716"/>
      <c r="AC89" s="717"/>
      <c r="AD89" s="717"/>
      <c r="AE89" s="717"/>
      <c r="AF89" s="718"/>
    </row>
    <row r="90" spans="1:32" ht="21" customHeight="1" x14ac:dyDescent="0.25">
      <c r="A90" s="30">
        <v>30</v>
      </c>
      <c r="B90" s="79" t="s">
        <v>39</v>
      </c>
      <c r="C90" s="26" t="s">
        <v>199</v>
      </c>
      <c r="D90" s="680" t="s">
        <v>200</v>
      </c>
      <c r="E90" s="681"/>
      <c r="F90" s="681"/>
      <c r="G90" s="681"/>
      <c r="H90" s="681"/>
      <c r="I90" s="681"/>
      <c r="J90" s="682"/>
      <c r="L90" s="30">
        <v>30</v>
      </c>
      <c r="M90" s="689" t="s">
        <v>201</v>
      </c>
      <c r="N90" s="690"/>
      <c r="O90" s="690"/>
      <c r="P90" s="690"/>
      <c r="Q90" s="691"/>
      <c r="S90" s="30">
        <v>30</v>
      </c>
      <c r="T90" s="698" t="s">
        <v>202</v>
      </c>
      <c r="U90" s="699"/>
      <c r="V90" s="699"/>
      <c r="W90" s="699"/>
      <c r="X90" s="700"/>
      <c r="Y90" s="707" t="s">
        <v>203</v>
      </c>
      <c r="AA90" s="30">
        <v>30</v>
      </c>
      <c r="AB90" s="710" t="s">
        <v>204</v>
      </c>
      <c r="AC90" s="711"/>
      <c r="AD90" s="711"/>
      <c r="AE90" s="711"/>
      <c r="AF90" s="712"/>
    </row>
    <row r="91" spans="1:32" ht="21" customHeight="1" x14ac:dyDescent="0.25">
      <c r="A91" s="31"/>
      <c r="B91" s="80"/>
      <c r="C91" s="40"/>
      <c r="D91" s="683"/>
      <c r="E91" s="684"/>
      <c r="F91" s="684"/>
      <c r="G91" s="684"/>
      <c r="H91" s="684"/>
      <c r="I91" s="684"/>
      <c r="J91" s="685"/>
      <c r="L91" s="31"/>
      <c r="M91" s="692"/>
      <c r="N91" s="693"/>
      <c r="O91" s="693"/>
      <c r="P91" s="693"/>
      <c r="Q91" s="694"/>
      <c r="S91" s="31"/>
      <c r="T91" s="701"/>
      <c r="U91" s="702"/>
      <c r="V91" s="702"/>
      <c r="W91" s="702"/>
      <c r="X91" s="703"/>
      <c r="Y91" s="708"/>
      <c r="Z91" s="29"/>
      <c r="AA91" s="31"/>
      <c r="AB91" s="713"/>
      <c r="AC91" s="714"/>
      <c r="AD91" s="714"/>
      <c r="AE91" s="714"/>
      <c r="AF91" s="715"/>
    </row>
    <row r="92" spans="1:32" ht="21" customHeight="1" x14ac:dyDescent="0.25">
      <c r="A92" s="32"/>
      <c r="B92" s="80"/>
      <c r="C92" s="40"/>
      <c r="D92" s="686"/>
      <c r="E92" s="687"/>
      <c r="F92" s="687"/>
      <c r="G92" s="687"/>
      <c r="H92" s="687"/>
      <c r="I92" s="687"/>
      <c r="J92" s="688"/>
      <c r="L92" s="32"/>
      <c r="M92" s="695"/>
      <c r="N92" s="696"/>
      <c r="O92" s="696"/>
      <c r="P92" s="696"/>
      <c r="Q92" s="697"/>
      <c r="S92" s="32"/>
      <c r="T92" s="704"/>
      <c r="U92" s="705"/>
      <c r="V92" s="705"/>
      <c r="W92" s="705"/>
      <c r="X92" s="706"/>
      <c r="Y92" s="709"/>
      <c r="Z92" s="29"/>
      <c r="AA92" s="32"/>
      <c r="AB92" s="716"/>
      <c r="AC92" s="717"/>
      <c r="AD92" s="717"/>
      <c r="AE92" s="717"/>
      <c r="AF92" s="718"/>
    </row>
    <row r="93" spans="1:32" ht="21" customHeight="1" x14ac:dyDescent="0.25">
      <c r="A93" s="30">
        <v>31</v>
      </c>
      <c r="B93" s="79" t="s">
        <v>39</v>
      </c>
      <c r="C93" s="26" t="s">
        <v>199</v>
      </c>
      <c r="D93" s="680" t="s">
        <v>205</v>
      </c>
      <c r="E93" s="681"/>
      <c r="F93" s="681"/>
      <c r="G93" s="681"/>
      <c r="H93" s="681"/>
      <c r="I93" s="681"/>
      <c r="J93" s="682"/>
      <c r="L93" s="30">
        <v>31</v>
      </c>
      <c r="M93" s="689" t="s">
        <v>206</v>
      </c>
      <c r="N93" s="690"/>
      <c r="O93" s="690"/>
      <c r="P93" s="690"/>
      <c r="Q93" s="691"/>
      <c r="S93" s="30">
        <v>31</v>
      </c>
      <c r="T93" s="698" t="s">
        <v>202</v>
      </c>
      <c r="U93" s="699"/>
      <c r="V93" s="699"/>
      <c r="W93" s="699"/>
      <c r="X93" s="700"/>
      <c r="Y93" s="707" t="s">
        <v>207</v>
      </c>
      <c r="AA93" s="30">
        <v>31</v>
      </c>
      <c r="AB93" s="710" t="s">
        <v>208</v>
      </c>
      <c r="AC93" s="711"/>
      <c r="AD93" s="711"/>
      <c r="AE93" s="711"/>
      <c r="AF93" s="712"/>
    </row>
    <row r="94" spans="1:32" ht="21" customHeight="1" x14ac:dyDescent="0.25">
      <c r="A94" s="31"/>
      <c r="B94" s="80"/>
      <c r="C94" s="40"/>
      <c r="D94" s="683"/>
      <c r="E94" s="684"/>
      <c r="F94" s="684"/>
      <c r="G94" s="684"/>
      <c r="H94" s="684"/>
      <c r="I94" s="684"/>
      <c r="J94" s="685"/>
      <c r="L94" s="31"/>
      <c r="M94" s="692"/>
      <c r="N94" s="693"/>
      <c r="O94" s="693"/>
      <c r="P94" s="693"/>
      <c r="Q94" s="694"/>
      <c r="S94" s="31"/>
      <c r="T94" s="701"/>
      <c r="U94" s="702"/>
      <c r="V94" s="702"/>
      <c r="W94" s="702"/>
      <c r="X94" s="703"/>
      <c r="Y94" s="708"/>
      <c r="Z94" s="29"/>
      <c r="AA94" s="31"/>
      <c r="AB94" s="713"/>
      <c r="AC94" s="714"/>
      <c r="AD94" s="714"/>
      <c r="AE94" s="714"/>
      <c r="AF94" s="715"/>
    </row>
    <row r="95" spans="1:32" ht="21" customHeight="1" x14ac:dyDescent="0.25">
      <c r="A95" s="32"/>
      <c r="B95" s="80"/>
      <c r="C95" s="40"/>
      <c r="D95" s="686"/>
      <c r="E95" s="687"/>
      <c r="F95" s="687"/>
      <c r="G95" s="687"/>
      <c r="H95" s="687"/>
      <c r="I95" s="687"/>
      <c r="J95" s="688"/>
      <c r="L95" s="32"/>
      <c r="M95" s="695"/>
      <c r="N95" s="696"/>
      <c r="O95" s="696"/>
      <c r="P95" s="696"/>
      <c r="Q95" s="697"/>
      <c r="S95" s="32"/>
      <c r="T95" s="704"/>
      <c r="U95" s="705"/>
      <c r="V95" s="705"/>
      <c r="W95" s="705"/>
      <c r="X95" s="706"/>
      <c r="Y95" s="709"/>
      <c r="Z95" s="29"/>
      <c r="AA95" s="32"/>
      <c r="AB95" s="716"/>
      <c r="AC95" s="717"/>
      <c r="AD95" s="717"/>
      <c r="AE95" s="717"/>
      <c r="AF95" s="718"/>
    </row>
    <row r="96" spans="1:32" ht="21" customHeight="1" x14ac:dyDescent="0.25">
      <c r="A96" s="30">
        <v>32</v>
      </c>
      <c r="B96" s="79" t="s">
        <v>39</v>
      </c>
      <c r="C96" s="26" t="s">
        <v>209</v>
      </c>
      <c r="D96" s="680" t="s">
        <v>210</v>
      </c>
      <c r="E96" s="681"/>
      <c r="F96" s="681"/>
      <c r="G96" s="681"/>
      <c r="H96" s="681"/>
      <c r="I96" s="681"/>
      <c r="J96" s="682"/>
      <c r="L96" s="30">
        <v>32</v>
      </c>
      <c r="M96" s="689" t="s">
        <v>83</v>
      </c>
      <c r="N96" s="690"/>
      <c r="O96" s="690"/>
      <c r="P96" s="690"/>
      <c r="Q96" s="691"/>
      <c r="S96" s="30">
        <v>32</v>
      </c>
      <c r="T96" s="698" t="s">
        <v>211</v>
      </c>
      <c r="U96" s="699"/>
      <c r="V96" s="699"/>
      <c r="W96" s="699"/>
      <c r="X96" s="700"/>
      <c r="Y96" s="707" t="s">
        <v>85</v>
      </c>
      <c r="AA96" s="30">
        <v>32</v>
      </c>
      <c r="AB96" s="710" t="s">
        <v>212</v>
      </c>
      <c r="AC96" s="711"/>
      <c r="AD96" s="711"/>
      <c r="AE96" s="711"/>
      <c r="AF96" s="712"/>
    </row>
    <row r="97" spans="1:32" ht="21" customHeight="1" x14ac:dyDescent="0.25">
      <c r="A97" s="31"/>
      <c r="B97" s="80"/>
      <c r="C97" s="40"/>
      <c r="D97" s="683"/>
      <c r="E97" s="684"/>
      <c r="F97" s="684"/>
      <c r="G97" s="684"/>
      <c r="H97" s="684"/>
      <c r="I97" s="684"/>
      <c r="J97" s="685"/>
      <c r="L97" s="31"/>
      <c r="M97" s="692"/>
      <c r="N97" s="693"/>
      <c r="O97" s="693"/>
      <c r="P97" s="693"/>
      <c r="Q97" s="694"/>
      <c r="S97" s="31"/>
      <c r="T97" s="701"/>
      <c r="U97" s="702"/>
      <c r="V97" s="702"/>
      <c r="W97" s="702"/>
      <c r="X97" s="703"/>
      <c r="Y97" s="708"/>
      <c r="Z97" s="29"/>
      <c r="AA97" s="31"/>
      <c r="AB97" s="713"/>
      <c r="AC97" s="714"/>
      <c r="AD97" s="714"/>
      <c r="AE97" s="714"/>
      <c r="AF97" s="715"/>
    </row>
    <row r="98" spans="1:32" ht="21" customHeight="1" x14ac:dyDescent="0.25">
      <c r="A98" s="32"/>
      <c r="B98" s="80"/>
      <c r="C98" s="40"/>
      <c r="D98" s="686"/>
      <c r="E98" s="687"/>
      <c r="F98" s="687"/>
      <c r="G98" s="687"/>
      <c r="H98" s="687"/>
      <c r="I98" s="687"/>
      <c r="J98" s="688"/>
      <c r="L98" s="32"/>
      <c r="M98" s="695"/>
      <c r="N98" s="696"/>
      <c r="O98" s="696"/>
      <c r="P98" s="696"/>
      <c r="Q98" s="697"/>
      <c r="S98" s="32"/>
      <c r="T98" s="704"/>
      <c r="U98" s="705"/>
      <c r="V98" s="705"/>
      <c r="W98" s="705"/>
      <c r="X98" s="706"/>
      <c r="Y98" s="709"/>
      <c r="Z98" s="29"/>
      <c r="AA98" s="32"/>
      <c r="AB98" s="716"/>
      <c r="AC98" s="717"/>
      <c r="AD98" s="717"/>
      <c r="AE98" s="717"/>
      <c r="AF98" s="718"/>
    </row>
    <row r="99" spans="1:32" ht="21" customHeight="1" x14ac:dyDescent="0.25">
      <c r="A99" s="30">
        <v>33</v>
      </c>
      <c r="B99" s="79" t="s">
        <v>39</v>
      </c>
      <c r="C99" s="26" t="s">
        <v>213</v>
      </c>
      <c r="D99" s="680" t="s">
        <v>214</v>
      </c>
      <c r="E99" s="681"/>
      <c r="F99" s="681"/>
      <c r="G99" s="681"/>
      <c r="H99" s="681"/>
      <c r="I99" s="681"/>
      <c r="J99" s="682"/>
      <c r="L99" s="30">
        <v>33</v>
      </c>
      <c r="M99" s="689" t="s">
        <v>215</v>
      </c>
      <c r="N99" s="690"/>
      <c r="O99" s="690"/>
      <c r="P99" s="690"/>
      <c r="Q99" s="691"/>
      <c r="S99" s="30">
        <v>33</v>
      </c>
      <c r="T99" s="698" t="s">
        <v>216</v>
      </c>
      <c r="U99" s="699"/>
      <c r="V99" s="699"/>
      <c r="W99" s="699"/>
      <c r="X99" s="700"/>
      <c r="Y99" s="707" t="s">
        <v>217</v>
      </c>
      <c r="AA99" s="30">
        <v>33</v>
      </c>
      <c r="AB99" s="710" t="s">
        <v>218</v>
      </c>
      <c r="AC99" s="711"/>
      <c r="AD99" s="711"/>
      <c r="AE99" s="711"/>
      <c r="AF99" s="712"/>
    </row>
    <row r="100" spans="1:32" ht="21" customHeight="1" x14ac:dyDescent="0.25">
      <c r="A100" s="31"/>
      <c r="B100" s="80"/>
      <c r="C100" s="40"/>
      <c r="D100" s="683"/>
      <c r="E100" s="684"/>
      <c r="F100" s="684"/>
      <c r="G100" s="684"/>
      <c r="H100" s="684"/>
      <c r="I100" s="684"/>
      <c r="J100" s="685"/>
      <c r="L100" s="31"/>
      <c r="M100" s="692"/>
      <c r="N100" s="693"/>
      <c r="O100" s="693"/>
      <c r="P100" s="693"/>
      <c r="Q100" s="694"/>
      <c r="S100" s="31"/>
      <c r="T100" s="701"/>
      <c r="U100" s="702"/>
      <c r="V100" s="702"/>
      <c r="W100" s="702"/>
      <c r="X100" s="703"/>
      <c r="Y100" s="708"/>
      <c r="Z100" s="29"/>
      <c r="AA100" s="31"/>
      <c r="AB100" s="713"/>
      <c r="AC100" s="714"/>
      <c r="AD100" s="714"/>
      <c r="AE100" s="714"/>
      <c r="AF100" s="715"/>
    </row>
    <row r="101" spans="1:32" ht="21" customHeight="1" x14ac:dyDescent="0.25">
      <c r="A101" s="32"/>
      <c r="B101" s="80"/>
      <c r="C101" s="40"/>
      <c r="D101" s="686"/>
      <c r="E101" s="687"/>
      <c r="F101" s="687"/>
      <c r="G101" s="687"/>
      <c r="H101" s="687"/>
      <c r="I101" s="687"/>
      <c r="J101" s="688"/>
      <c r="L101" s="32"/>
      <c r="M101" s="695"/>
      <c r="N101" s="696"/>
      <c r="O101" s="696"/>
      <c r="P101" s="696"/>
      <c r="Q101" s="697"/>
      <c r="S101" s="32"/>
      <c r="T101" s="704"/>
      <c r="U101" s="705"/>
      <c r="V101" s="705"/>
      <c r="W101" s="705"/>
      <c r="X101" s="706"/>
      <c r="Y101" s="709"/>
      <c r="Z101" s="29"/>
      <c r="AA101" s="32"/>
      <c r="AB101" s="716"/>
      <c r="AC101" s="717"/>
      <c r="AD101" s="717"/>
      <c r="AE101" s="717"/>
      <c r="AF101" s="718"/>
    </row>
    <row r="102" spans="1:32" ht="21" customHeight="1" x14ac:dyDescent="0.25">
      <c r="A102" s="30">
        <v>34</v>
      </c>
      <c r="B102" s="79" t="s">
        <v>39</v>
      </c>
      <c r="C102" s="26" t="s">
        <v>219</v>
      </c>
      <c r="D102" s="680" t="s">
        <v>220</v>
      </c>
      <c r="E102" s="681"/>
      <c r="F102" s="681"/>
      <c r="G102" s="681"/>
      <c r="H102" s="681"/>
      <c r="I102" s="681"/>
      <c r="J102" s="682"/>
      <c r="L102" s="30">
        <v>34</v>
      </c>
      <c r="M102" s="689" t="s">
        <v>221</v>
      </c>
      <c r="N102" s="690"/>
      <c r="O102" s="690"/>
      <c r="P102" s="690"/>
      <c r="Q102" s="691"/>
      <c r="S102" s="30">
        <v>34</v>
      </c>
      <c r="T102" s="698" t="s">
        <v>222</v>
      </c>
      <c r="U102" s="699"/>
      <c r="V102" s="699"/>
      <c r="W102" s="699"/>
      <c r="X102" s="700"/>
      <c r="Y102" s="707" t="s">
        <v>223</v>
      </c>
      <c r="AA102" s="30">
        <v>34</v>
      </c>
      <c r="AB102" s="710" t="s">
        <v>224</v>
      </c>
      <c r="AC102" s="711"/>
      <c r="AD102" s="711"/>
      <c r="AE102" s="711"/>
      <c r="AF102" s="712"/>
    </row>
    <row r="103" spans="1:32" ht="21" customHeight="1" x14ac:dyDescent="0.25">
      <c r="A103" s="31"/>
      <c r="B103" s="80"/>
      <c r="C103" s="40"/>
      <c r="D103" s="683"/>
      <c r="E103" s="684"/>
      <c r="F103" s="684"/>
      <c r="G103" s="684"/>
      <c r="H103" s="684"/>
      <c r="I103" s="684"/>
      <c r="J103" s="685"/>
      <c r="L103" s="31"/>
      <c r="M103" s="692"/>
      <c r="N103" s="693"/>
      <c r="O103" s="693"/>
      <c r="P103" s="693"/>
      <c r="Q103" s="694"/>
      <c r="S103" s="31"/>
      <c r="T103" s="701"/>
      <c r="U103" s="702"/>
      <c r="V103" s="702"/>
      <c r="W103" s="702"/>
      <c r="X103" s="703"/>
      <c r="Y103" s="708"/>
      <c r="Z103" s="29"/>
      <c r="AA103" s="31"/>
      <c r="AB103" s="713"/>
      <c r="AC103" s="714"/>
      <c r="AD103" s="714"/>
      <c r="AE103" s="714"/>
      <c r="AF103" s="715"/>
    </row>
    <row r="104" spans="1:32" ht="21" customHeight="1" x14ac:dyDescent="0.25">
      <c r="A104" s="32"/>
      <c r="B104" s="80"/>
      <c r="C104" s="40"/>
      <c r="D104" s="686"/>
      <c r="E104" s="687"/>
      <c r="F104" s="687"/>
      <c r="G104" s="687"/>
      <c r="H104" s="687"/>
      <c r="I104" s="687"/>
      <c r="J104" s="688"/>
      <c r="L104" s="32"/>
      <c r="M104" s="695"/>
      <c r="N104" s="696"/>
      <c r="O104" s="696"/>
      <c r="P104" s="696"/>
      <c r="Q104" s="697"/>
      <c r="S104" s="32"/>
      <c r="T104" s="704"/>
      <c r="U104" s="705"/>
      <c r="V104" s="705"/>
      <c r="W104" s="705"/>
      <c r="X104" s="706"/>
      <c r="Y104" s="709"/>
      <c r="Z104" s="29"/>
      <c r="AA104" s="32"/>
      <c r="AB104" s="716"/>
      <c r="AC104" s="717"/>
      <c r="AD104" s="717"/>
      <c r="AE104" s="717"/>
      <c r="AF104" s="718"/>
    </row>
    <row r="105" spans="1:32" ht="21" customHeight="1" x14ac:dyDescent="0.25">
      <c r="A105" s="30">
        <v>35</v>
      </c>
      <c r="B105" s="79" t="s">
        <v>39</v>
      </c>
      <c r="C105" s="26" t="s">
        <v>225</v>
      </c>
      <c r="D105" s="680" t="s">
        <v>226</v>
      </c>
      <c r="E105" s="681"/>
      <c r="F105" s="681"/>
      <c r="G105" s="681"/>
      <c r="H105" s="681"/>
      <c r="I105" s="681"/>
      <c r="J105" s="682"/>
      <c r="L105" s="30">
        <v>35</v>
      </c>
      <c r="M105" s="689" t="s">
        <v>227</v>
      </c>
      <c r="N105" s="690"/>
      <c r="O105" s="690"/>
      <c r="P105" s="690"/>
      <c r="Q105" s="691"/>
      <c r="S105" s="30">
        <v>35</v>
      </c>
      <c r="T105" s="698" t="s">
        <v>228</v>
      </c>
      <c r="U105" s="699"/>
      <c r="V105" s="699"/>
      <c r="W105" s="699"/>
      <c r="X105" s="700"/>
      <c r="Y105" s="707" t="s">
        <v>229</v>
      </c>
      <c r="AA105" s="30">
        <v>35</v>
      </c>
      <c r="AB105" s="710" t="s">
        <v>230</v>
      </c>
      <c r="AC105" s="711"/>
      <c r="AD105" s="711"/>
      <c r="AE105" s="711"/>
      <c r="AF105" s="712"/>
    </row>
    <row r="106" spans="1:32" ht="21" customHeight="1" x14ac:dyDescent="0.25">
      <c r="A106" s="31"/>
      <c r="B106" s="80"/>
      <c r="C106" s="40"/>
      <c r="D106" s="683"/>
      <c r="E106" s="684"/>
      <c r="F106" s="684"/>
      <c r="G106" s="684"/>
      <c r="H106" s="684"/>
      <c r="I106" s="684"/>
      <c r="J106" s="685"/>
      <c r="L106" s="31"/>
      <c r="M106" s="692"/>
      <c r="N106" s="693"/>
      <c r="O106" s="693"/>
      <c r="P106" s="693"/>
      <c r="Q106" s="694"/>
      <c r="S106" s="31"/>
      <c r="T106" s="701"/>
      <c r="U106" s="702"/>
      <c r="V106" s="702"/>
      <c r="W106" s="702"/>
      <c r="X106" s="703"/>
      <c r="Y106" s="708"/>
      <c r="Z106" s="29"/>
      <c r="AA106" s="31"/>
      <c r="AB106" s="713"/>
      <c r="AC106" s="714"/>
      <c r="AD106" s="714"/>
      <c r="AE106" s="714"/>
      <c r="AF106" s="715"/>
    </row>
    <row r="107" spans="1:32" ht="21" customHeight="1" x14ac:dyDescent="0.25">
      <c r="A107" s="32"/>
      <c r="B107" s="80"/>
      <c r="C107" s="40"/>
      <c r="D107" s="686"/>
      <c r="E107" s="687"/>
      <c r="F107" s="687"/>
      <c r="G107" s="687"/>
      <c r="H107" s="687"/>
      <c r="I107" s="687"/>
      <c r="J107" s="688"/>
      <c r="L107" s="32"/>
      <c r="M107" s="695"/>
      <c r="N107" s="696"/>
      <c r="O107" s="696"/>
      <c r="P107" s="696"/>
      <c r="Q107" s="697"/>
      <c r="S107" s="32"/>
      <c r="T107" s="704"/>
      <c r="U107" s="705"/>
      <c r="V107" s="705"/>
      <c r="W107" s="705"/>
      <c r="X107" s="706"/>
      <c r="Y107" s="709"/>
      <c r="Z107" s="29"/>
      <c r="AA107" s="32"/>
      <c r="AB107" s="716"/>
      <c r="AC107" s="717"/>
      <c r="AD107" s="717"/>
      <c r="AE107" s="717"/>
      <c r="AF107" s="718"/>
    </row>
    <row r="108" spans="1:32" ht="21" customHeight="1" x14ac:dyDescent="0.25">
      <c r="A108" s="30">
        <v>36</v>
      </c>
      <c r="B108" s="79" t="s">
        <v>39</v>
      </c>
      <c r="C108" s="26" t="s">
        <v>231</v>
      </c>
      <c r="D108" s="680" t="s">
        <v>232</v>
      </c>
      <c r="E108" s="681"/>
      <c r="F108" s="681"/>
      <c r="G108" s="681"/>
      <c r="H108" s="681"/>
      <c r="I108" s="681"/>
      <c r="J108" s="682"/>
      <c r="L108" s="30">
        <v>36</v>
      </c>
      <c r="M108" s="689" t="s">
        <v>233</v>
      </c>
      <c r="N108" s="690"/>
      <c r="O108" s="690"/>
      <c r="P108" s="690"/>
      <c r="Q108" s="691"/>
      <c r="S108" s="30">
        <v>36</v>
      </c>
      <c r="T108" s="698" t="s">
        <v>234</v>
      </c>
      <c r="U108" s="699"/>
      <c r="V108" s="699"/>
      <c r="W108" s="699"/>
      <c r="X108" s="700"/>
      <c r="Y108" s="707" t="s">
        <v>235</v>
      </c>
      <c r="AA108" s="30">
        <v>36</v>
      </c>
      <c r="AB108" s="710" t="s">
        <v>236</v>
      </c>
      <c r="AC108" s="711"/>
      <c r="AD108" s="711"/>
      <c r="AE108" s="711"/>
      <c r="AF108" s="712"/>
    </row>
    <row r="109" spans="1:32" ht="21" customHeight="1" x14ac:dyDescent="0.25">
      <c r="A109" s="31"/>
      <c r="B109" s="80"/>
      <c r="C109" s="40"/>
      <c r="D109" s="683"/>
      <c r="E109" s="684"/>
      <c r="F109" s="684"/>
      <c r="G109" s="684"/>
      <c r="H109" s="684"/>
      <c r="I109" s="684"/>
      <c r="J109" s="685"/>
      <c r="L109" s="31"/>
      <c r="M109" s="692"/>
      <c r="N109" s="693"/>
      <c r="O109" s="693"/>
      <c r="P109" s="693"/>
      <c r="Q109" s="694"/>
      <c r="S109" s="31"/>
      <c r="T109" s="701"/>
      <c r="U109" s="702"/>
      <c r="V109" s="702"/>
      <c r="W109" s="702"/>
      <c r="X109" s="703"/>
      <c r="Y109" s="708"/>
      <c r="Z109" s="29"/>
      <c r="AA109" s="31"/>
      <c r="AB109" s="713"/>
      <c r="AC109" s="714"/>
      <c r="AD109" s="714"/>
      <c r="AE109" s="714"/>
      <c r="AF109" s="715"/>
    </row>
    <row r="110" spans="1:32" ht="21" customHeight="1" x14ac:dyDescent="0.25">
      <c r="A110" s="32"/>
      <c r="B110" s="80"/>
      <c r="C110" s="40"/>
      <c r="D110" s="686"/>
      <c r="E110" s="687"/>
      <c r="F110" s="687"/>
      <c r="G110" s="687"/>
      <c r="H110" s="687"/>
      <c r="I110" s="687"/>
      <c r="J110" s="688"/>
      <c r="L110" s="32"/>
      <c r="M110" s="695"/>
      <c r="N110" s="696"/>
      <c r="O110" s="696"/>
      <c r="P110" s="696"/>
      <c r="Q110" s="697"/>
      <c r="S110" s="32"/>
      <c r="T110" s="704"/>
      <c r="U110" s="705"/>
      <c r="V110" s="705"/>
      <c r="W110" s="705"/>
      <c r="X110" s="706"/>
      <c r="Y110" s="709"/>
      <c r="Z110" s="29"/>
      <c r="AA110" s="32"/>
      <c r="AB110" s="716"/>
      <c r="AC110" s="717"/>
      <c r="AD110" s="717"/>
      <c r="AE110" s="717"/>
      <c r="AF110" s="718"/>
    </row>
    <row r="111" spans="1:32" ht="21" customHeight="1" x14ac:dyDescent="0.25">
      <c r="A111" s="30">
        <v>37</v>
      </c>
      <c r="B111" s="79" t="s">
        <v>39</v>
      </c>
      <c r="C111" s="26" t="s">
        <v>237</v>
      </c>
      <c r="D111" s="680" t="s">
        <v>238</v>
      </c>
      <c r="E111" s="681"/>
      <c r="F111" s="681"/>
      <c r="G111" s="681"/>
      <c r="H111" s="681"/>
      <c r="I111" s="681"/>
      <c r="J111" s="682"/>
      <c r="L111" s="30">
        <v>37</v>
      </c>
      <c r="M111" s="689" t="s">
        <v>239</v>
      </c>
      <c r="N111" s="690"/>
      <c r="O111" s="690"/>
      <c r="P111" s="690"/>
      <c r="Q111" s="691"/>
      <c r="S111" s="30">
        <v>37</v>
      </c>
      <c r="T111" s="698" t="s">
        <v>240</v>
      </c>
      <c r="U111" s="699"/>
      <c r="V111" s="699"/>
      <c r="W111" s="699"/>
      <c r="X111" s="700"/>
      <c r="Y111" s="707" t="s">
        <v>241</v>
      </c>
      <c r="AA111" s="30">
        <v>37</v>
      </c>
      <c r="AB111" s="710" t="s">
        <v>242</v>
      </c>
      <c r="AC111" s="711"/>
      <c r="AD111" s="711"/>
      <c r="AE111" s="711"/>
      <c r="AF111" s="712"/>
    </row>
    <row r="112" spans="1:32" ht="21" customHeight="1" x14ac:dyDescent="0.25">
      <c r="A112" s="31"/>
      <c r="B112" s="80"/>
      <c r="C112" s="40"/>
      <c r="D112" s="683"/>
      <c r="E112" s="684"/>
      <c r="F112" s="684"/>
      <c r="G112" s="684"/>
      <c r="H112" s="684"/>
      <c r="I112" s="684"/>
      <c r="J112" s="685"/>
      <c r="L112" s="31"/>
      <c r="M112" s="692"/>
      <c r="N112" s="693"/>
      <c r="O112" s="693"/>
      <c r="P112" s="693"/>
      <c r="Q112" s="694"/>
      <c r="S112" s="31"/>
      <c r="T112" s="701"/>
      <c r="U112" s="702"/>
      <c r="V112" s="702"/>
      <c r="W112" s="702"/>
      <c r="X112" s="703"/>
      <c r="Y112" s="708"/>
      <c r="Z112" s="29"/>
      <c r="AA112" s="31"/>
      <c r="AB112" s="713"/>
      <c r="AC112" s="714"/>
      <c r="AD112" s="714"/>
      <c r="AE112" s="714"/>
      <c r="AF112" s="715"/>
    </row>
    <row r="113" spans="1:32" ht="21" customHeight="1" x14ac:dyDescent="0.25">
      <c r="A113" s="32"/>
      <c r="B113" s="80"/>
      <c r="C113" s="40"/>
      <c r="D113" s="686"/>
      <c r="E113" s="687"/>
      <c r="F113" s="687"/>
      <c r="G113" s="687"/>
      <c r="H113" s="687"/>
      <c r="I113" s="687"/>
      <c r="J113" s="688"/>
      <c r="L113" s="32"/>
      <c r="M113" s="695"/>
      <c r="N113" s="696"/>
      <c r="O113" s="696"/>
      <c r="P113" s="696"/>
      <c r="Q113" s="697"/>
      <c r="S113" s="32"/>
      <c r="T113" s="704"/>
      <c r="U113" s="705"/>
      <c r="V113" s="705"/>
      <c r="W113" s="705"/>
      <c r="X113" s="706"/>
      <c r="Y113" s="709"/>
      <c r="Z113" s="29"/>
      <c r="AA113" s="32"/>
      <c r="AB113" s="716"/>
      <c r="AC113" s="717"/>
      <c r="AD113" s="717"/>
      <c r="AE113" s="717"/>
      <c r="AF113" s="718"/>
    </row>
    <row r="114" spans="1:32" ht="21" customHeight="1" x14ac:dyDescent="0.25">
      <c r="A114" s="30">
        <v>38</v>
      </c>
      <c r="B114" s="79" t="s">
        <v>39</v>
      </c>
      <c r="C114" s="26" t="s">
        <v>243</v>
      </c>
      <c r="D114" s="680" t="s">
        <v>244</v>
      </c>
      <c r="E114" s="681"/>
      <c r="F114" s="681"/>
      <c r="G114" s="681"/>
      <c r="H114" s="681"/>
      <c r="I114" s="681"/>
      <c r="J114" s="682"/>
      <c r="L114" s="30">
        <v>38</v>
      </c>
      <c r="M114" s="689" t="s">
        <v>245</v>
      </c>
      <c r="N114" s="690"/>
      <c r="O114" s="690"/>
      <c r="P114" s="690"/>
      <c r="Q114" s="691"/>
      <c r="S114" s="30">
        <v>38</v>
      </c>
      <c r="T114" s="698" t="s">
        <v>246</v>
      </c>
      <c r="U114" s="699"/>
      <c r="V114" s="699"/>
      <c r="W114" s="699"/>
      <c r="X114" s="700"/>
      <c r="Y114" s="707" t="s">
        <v>247</v>
      </c>
      <c r="AA114" s="30">
        <v>38</v>
      </c>
      <c r="AB114" s="710" t="s">
        <v>248</v>
      </c>
      <c r="AC114" s="711"/>
      <c r="AD114" s="711"/>
      <c r="AE114" s="711"/>
      <c r="AF114" s="712"/>
    </row>
    <row r="115" spans="1:32" ht="21" customHeight="1" x14ac:dyDescent="0.25">
      <c r="A115" s="31"/>
      <c r="B115" s="80"/>
      <c r="C115" s="40"/>
      <c r="D115" s="683"/>
      <c r="E115" s="684"/>
      <c r="F115" s="684"/>
      <c r="G115" s="684"/>
      <c r="H115" s="684"/>
      <c r="I115" s="684"/>
      <c r="J115" s="685"/>
      <c r="L115" s="31"/>
      <c r="M115" s="692"/>
      <c r="N115" s="693"/>
      <c r="O115" s="693"/>
      <c r="P115" s="693"/>
      <c r="Q115" s="694"/>
      <c r="S115" s="31"/>
      <c r="T115" s="701"/>
      <c r="U115" s="702"/>
      <c r="V115" s="702"/>
      <c r="W115" s="702"/>
      <c r="X115" s="703"/>
      <c r="Y115" s="708"/>
      <c r="Z115" s="29"/>
      <c r="AA115" s="31"/>
      <c r="AB115" s="713"/>
      <c r="AC115" s="714"/>
      <c r="AD115" s="714"/>
      <c r="AE115" s="714"/>
      <c r="AF115" s="715"/>
    </row>
    <row r="116" spans="1:32" ht="21" customHeight="1" x14ac:dyDescent="0.25">
      <c r="A116" s="32"/>
      <c r="B116" s="80"/>
      <c r="C116" s="40"/>
      <c r="D116" s="686"/>
      <c r="E116" s="687"/>
      <c r="F116" s="687"/>
      <c r="G116" s="687"/>
      <c r="H116" s="687"/>
      <c r="I116" s="687"/>
      <c r="J116" s="688"/>
      <c r="L116" s="32"/>
      <c r="M116" s="695"/>
      <c r="N116" s="696"/>
      <c r="O116" s="696"/>
      <c r="P116" s="696"/>
      <c r="Q116" s="697"/>
      <c r="S116" s="32"/>
      <c r="T116" s="704"/>
      <c r="U116" s="705"/>
      <c r="V116" s="705"/>
      <c r="W116" s="705"/>
      <c r="X116" s="706"/>
      <c r="Y116" s="709"/>
      <c r="Z116" s="29"/>
      <c r="AA116" s="32"/>
      <c r="AB116" s="716"/>
      <c r="AC116" s="717"/>
      <c r="AD116" s="717"/>
      <c r="AE116" s="717"/>
      <c r="AF116" s="718"/>
    </row>
    <row r="117" spans="1:32" ht="21" customHeight="1" x14ac:dyDescent="0.25">
      <c r="A117" s="30">
        <v>39</v>
      </c>
      <c r="B117" s="79" t="s">
        <v>39</v>
      </c>
      <c r="C117" s="26" t="s">
        <v>249</v>
      </c>
      <c r="D117" s="680" t="s">
        <v>250</v>
      </c>
      <c r="E117" s="681"/>
      <c r="F117" s="681"/>
      <c r="G117" s="681"/>
      <c r="H117" s="681"/>
      <c r="I117" s="681"/>
      <c r="J117" s="682"/>
      <c r="L117" s="30">
        <v>39</v>
      </c>
      <c r="M117" s="689" t="s">
        <v>251</v>
      </c>
      <c r="N117" s="690"/>
      <c r="O117" s="690"/>
      <c r="P117" s="690"/>
      <c r="Q117" s="691"/>
      <c r="S117" s="30">
        <v>39</v>
      </c>
      <c r="T117" s="698" t="s">
        <v>252</v>
      </c>
      <c r="U117" s="699"/>
      <c r="V117" s="699"/>
      <c r="W117" s="699"/>
      <c r="X117" s="700"/>
      <c r="Y117" s="707" t="s">
        <v>253</v>
      </c>
      <c r="AA117" s="30">
        <v>39</v>
      </c>
      <c r="AB117" s="710" t="s">
        <v>254</v>
      </c>
      <c r="AC117" s="711"/>
      <c r="AD117" s="711"/>
      <c r="AE117" s="711"/>
      <c r="AF117" s="712"/>
    </row>
    <row r="118" spans="1:32" ht="21" customHeight="1" x14ac:dyDescent="0.25">
      <c r="A118" s="31"/>
      <c r="B118" s="80"/>
      <c r="C118" s="40"/>
      <c r="D118" s="683"/>
      <c r="E118" s="684"/>
      <c r="F118" s="684"/>
      <c r="G118" s="684"/>
      <c r="H118" s="684"/>
      <c r="I118" s="684"/>
      <c r="J118" s="685"/>
      <c r="L118" s="31"/>
      <c r="M118" s="692"/>
      <c r="N118" s="693"/>
      <c r="O118" s="693"/>
      <c r="P118" s="693"/>
      <c r="Q118" s="694"/>
      <c r="S118" s="31"/>
      <c r="T118" s="701"/>
      <c r="U118" s="702"/>
      <c r="V118" s="702"/>
      <c r="W118" s="702"/>
      <c r="X118" s="703"/>
      <c r="Y118" s="708"/>
      <c r="Z118" s="29"/>
      <c r="AA118" s="31"/>
      <c r="AB118" s="713"/>
      <c r="AC118" s="714"/>
      <c r="AD118" s="714"/>
      <c r="AE118" s="714"/>
      <c r="AF118" s="715"/>
    </row>
    <row r="119" spans="1:32" ht="21" customHeight="1" x14ac:dyDescent="0.25">
      <c r="A119" s="32"/>
      <c r="B119" s="80"/>
      <c r="C119" s="40"/>
      <c r="D119" s="686"/>
      <c r="E119" s="687"/>
      <c r="F119" s="687"/>
      <c r="G119" s="687"/>
      <c r="H119" s="687"/>
      <c r="I119" s="687"/>
      <c r="J119" s="688"/>
      <c r="L119" s="32"/>
      <c r="M119" s="695"/>
      <c r="N119" s="696"/>
      <c r="O119" s="696"/>
      <c r="P119" s="696"/>
      <c r="Q119" s="697"/>
      <c r="S119" s="32"/>
      <c r="T119" s="704"/>
      <c r="U119" s="705"/>
      <c r="V119" s="705"/>
      <c r="W119" s="705"/>
      <c r="X119" s="706"/>
      <c r="Y119" s="709"/>
      <c r="Z119" s="29"/>
      <c r="AA119" s="32"/>
      <c r="AB119" s="716"/>
      <c r="AC119" s="717"/>
      <c r="AD119" s="717"/>
      <c r="AE119" s="717"/>
      <c r="AF119" s="718"/>
    </row>
    <row r="120" spans="1:32" ht="21" customHeight="1" x14ac:dyDescent="0.25">
      <c r="A120" s="30">
        <v>40</v>
      </c>
      <c r="B120" s="79" t="s">
        <v>39</v>
      </c>
      <c r="C120" s="26" t="s">
        <v>255</v>
      </c>
      <c r="D120" s="680" t="s">
        <v>256</v>
      </c>
      <c r="E120" s="681"/>
      <c r="F120" s="681"/>
      <c r="G120" s="681"/>
      <c r="H120" s="681"/>
      <c r="I120" s="681"/>
      <c r="J120" s="682"/>
      <c r="L120" s="30">
        <v>40</v>
      </c>
      <c r="M120" s="689" t="s">
        <v>257</v>
      </c>
      <c r="N120" s="690"/>
      <c r="O120" s="690"/>
      <c r="P120" s="690"/>
      <c r="Q120" s="691"/>
      <c r="S120" s="30">
        <v>40</v>
      </c>
      <c r="T120" s="698" t="s">
        <v>258</v>
      </c>
      <c r="U120" s="699"/>
      <c r="V120" s="699"/>
      <c r="W120" s="699"/>
      <c r="X120" s="700"/>
      <c r="Y120" s="707" t="s">
        <v>259</v>
      </c>
      <c r="AA120" s="30">
        <v>40</v>
      </c>
      <c r="AB120" s="710" t="s">
        <v>260</v>
      </c>
      <c r="AC120" s="711"/>
      <c r="AD120" s="711"/>
      <c r="AE120" s="711"/>
      <c r="AF120" s="712"/>
    </row>
    <row r="121" spans="1:32" ht="21" customHeight="1" x14ac:dyDescent="0.25">
      <c r="A121" s="31"/>
      <c r="B121" s="80"/>
      <c r="C121" s="40"/>
      <c r="D121" s="683"/>
      <c r="E121" s="684"/>
      <c r="F121" s="684"/>
      <c r="G121" s="684"/>
      <c r="H121" s="684"/>
      <c r="I121" s="684"/>
      <c r="J121" s="685"/>
      <c r="L121" s="31"/>
      <c r="M121" s="692"/>
      <c r="N121" s="693"/>
      <c r="O121" s="693"/>
      <c r="P121" s="693"/>
      <c r="Q121" s="694"/>
      <c r="S121" s="31"/>
      <c r="T121" s="701"/>
      <c r="U121" s="702"/>
      <c r="V121" s="702"/>
      <c r="W121" s="702"/>
      <c r="X121" s="703"/>
      <c r="Y121" s="708"/>
      <c r="Z121" s="29"/>
      <c r="AA121" s="31"/>
      <c r="AB121" s="713"/>
      <c r="AC121" s="714"/>
      <c r="AD121" s="714"/>
      <c r="AE121" s="714"/>
      <c r="AF121" s="715"/>
    </row>
    <row r="122" spans="1:32" ht="21" customHeight="1" x14ac:dyDescent="0.25">
      <c r="A122" s="32"/>
      <c r="B122" s="80"/>
      <c r="C122" s="40"/>
      <c r="D122" s="686"/>
      <c r="E122" s="687"/>
      <c r="F122" s="687"/>
      <c r="G122" s="687"/>
      <c r="H122" s="687"/>
      <c r="I122" s="687"/>
      <c r="J122" s="688"/>
      <c r="L122" s="32"/>
      <c r="M122" s="695"/>
      <c r="N122" s="696"/>
      <c r="O122" s="696"/>
      <c r="P122" s="696"/>
      <c r="Q122" s="697"/>
      <c r="S122" s="32"/>
      <c r="T122" s="704"/>
      <c r="U122" s="705"/>
      <c r="V122" s="705"/>
      <c r="W122" s="705"/>
      <c r="X122" s="706"/>
      <c r="Y122" s="709"/>
      <c r="Z122" s="29"/>
      <c r="AA122" s="32"/>
      <c r="AB122" s="716"/>
      <c r="AC122" s="717"/>
      <c r="AD122" s="717"/>
      <c r="AE122" s="717"/>
      <c r="AF122" s="718"/>
    </row>
    <row r="123" spans="1:32" ht="21" customHeight="1" x14ac:dyDescent="0.25">
      <c r="A123" s="30">
        <v>41</v>
      </c>
      <c r="B123" s="79" t="s">
        <v>39</v>
      </c>
      <c r="C123" s="26" t="s">
        <v>261</v>
      </c>
      <c r="D123" s="680" t="s">
        <v>262</v>
      </c>
      <c r="E123" s="681"/>
      <c r="F123" s="681"/>
      <c r="G123" s="681"/>
      <c r="H123" s="681"/>
      <c r="I123" s="681"/>
      <c r="J123" s="682"/>
      <c r="L123" s="30">
        <v>41</v>
      </c>
      <c r="M123" s="689" t="s">
        <v>263</v>
      </c>
      <c r="N123" s="690"/>
      <c r="O123" s="690"/>
      <c r="P123" s="690"/>
      <c r="Q123" s="691"/>
      <c r="S123" s="30">
        <v>41</v>
      </c>
      <c r="T123" s="698" t="s">
        <v>264</v>
      </c>
      <c r="U123" s="699"/>
      <c r="V123" s="699"/>
      <c r="W123" s="699"/>
      <c r="X123" s="700"/>
      <c r="Y123" s="707" t="s">
        <v>265</v>
      </c>
      <c r="AA123" s="30">
        <v>41</v>
      </c>
      <c r="AB123" s="710" t="s">
        <v>266</v>
      </c>
      <c r="AC123" s="711"/>
      <c r="AD123" s="711"/>
      <c r="AE123" s="711"/>
      <c r="AF123" s="712"/>
    </row>
    <row r="124" spans="1:32" ht="21" customHeight="1" x14ac:dyDescent="0.25">
      <c r="A124" s="31"/>
      <c r="B124" s="80"/>
      <c r="C124" s="40"/>
      <c r="D124" s="683"/>
      <c r="E124" s="684"/>
      <c r="F124" s="684"/>
      <c r="G124" s="684"/>
      <c r="H124" s="684"/>
      <c r="I124" s="684"/>
      <c r="J124" s="685"/>
      <c r="L124" s="31"/>
      <c r="M124" s="692"/>
      <c r="N124" s="693"/>
      <c r="O124" s="693"/>
      <c r="P124" s="693"/>
      <c r="Q124" s="694"/>
      <c r="S124" s="31"/>
      <c r="T124" s="701"/>
      <c r="U124" s="702"/>
      <c r="V124" s="702"/>
      <c r="W124" s="702"/>
      <c r="X124" s="703"/>
      <c r="Y124" s="708"/>
      <c r="Z124" s="29"/>
      <c r="AA124" s="31"/>
      <c r="AB124" s="713"/>
      <c r="AC124" s="714"/>
      <c r="AD124" s="714"/>
      <c r="AE124" s="714"/>
      <c r="AF124" s="715"/>
    </row>
    <row r="125" spans="1:32" ht="21" customHeight="1" x14ac:dyDescent="0.25">
      <c r="A125" s="32"/>
      <c r="B125" s="80"/>
      <c r="C125" s="40"/>
      <c r="D125" s="686"/>
      <c r="E125" s="687"/>
      <c r="F125" s="687"/>
      <c r="G125" s="687"/>
      <c r="H125" s="687"/>
      <c r="I125" s="687"/>
      <c r="J125" s="688"/>
      <c r="L125" s="32"/>
      <c r="M125" s="695"/>
      <c r="N125" s="696"/>
      <c r="O125" s="696"/>
      <c r="P125" s="696"/>
      <c r="Q125" s="697"/>
      <c r="S125" s="32"/>
      <c r="T125" s="704"/>
      <c r="U125" s="705"/>
      <c r="V125" s="705"/>
      <c r="W125" s="705"/>
      <c r="X125" s="706"/>
      <c r="Y125" s="709"/>
      <c r="Z125" s="29"/>
      <c r="AA125" s="32"/>
      <c r="AB125" s="716"/>
      <c r="AC125" s="717"/>
      <c r="AD125" s="717"/>
      <c r="AE125" s="717"/>
      <c r="AF125" s="718"/>
    </row>
    <row r="126" spans="1:32" ht="21" customHeight="1" x14ac:dyDescent="0.25">
      <c r="A126" s="30">
        <v>42</v>
      </c>
      <c r="B126" s="79" t="s">
        <v>39</v>
      </c>
      <c r="C126" s="26" t="s">
        <v>267</v>
      </c>
      <c r="D126" s="680" t="s">
        <v>268</v>
      </c>
      <c r="E126" s="681"/>
      <c r="F126" s="681"/>
      <c r="G126" s="681"/>
      <c r="H126" s="681"/>
      <c r="I126" s="681"/>
      <c r="J126" s="682"/>
      <c r="L126" s="30">
        <v>42</v>
      </c>
      <c r="M126" s="689" t="s">
        <v>269</v>
      </c>
      <c r="N126" s="690"/>
      <c r="O126" s="690"/>
      <c r="P126" s="690"/>
      <c r="Q126" s="691"/>
      <c r="S126" s="30">
        <v>42</v>
      </c>
      <c r="T126" s="698" t="s">
        <v>270</v>
      </c>
      <c r="U126" s="699"/>
      <c r="V126" s="699"/>
      <c r="W126" s="699"/>
      <c r="X126" s="700"/>
      <c r="Y126" s="707" t="s">
        <v>271</v>
      </c>
      <c r="AA126" s="30">
        <v>42</v>
      </c>
      <c r="AB126" s="710" t="s">
        <v>272</v>
      </c>
      <c r="AC126" s="711"/>
      <c r="AD126" s="711"/>
      <c r="AE126" s="711"/>
      <c r="AF126" s="712"/>
    </row>
    <row r="127" spans="1:32" ht="21" customHeight="1" x14ac:dyDescent="0.25">
      <c r="A127" s="31"/>
      <c r="B127" s="80"/>
      <c r="C127" s="40"/>
      <c r="D127" s="683"/>
      <c r="E127" s="684"/>
      <c r="F127" s="684"/>
      <c r="G127" s="684"/>
      <c r="H127" s="684"/>
      <c r="I127" s="684"/>
      <c r="J127" s="685"/>
      <c r="L127" s="31"/>
      <c r="M127" s="692"/>
      <c r="N127" s="693"/>
      <c r="O127" s="693"/>
      <c r="P127" s="693"/>
      <c r="Q127" s="694"/>
      <c r="S127" s="31"/>
      <c r="T127" s="701"/>
      <c r="U127" s="702"/>
      <c r="V127" s="702"/>
      <c r="W127" s="702"/>
      <c r="X127" s="703"/>
      <c r="Y127" s="708"/>
      <c r="Z127" s="29"/>
      <c r="AA127" s="31"/>
      <c r="AB127" s="713"/>
      <c r="AC127" s="714"/>
      <c r="AD127" s="714"/>
      <c r="AE127" s="714"/>
      <c r="AF127" s="715"/>
    </row>
    <row r="128" spans="1:32" ht="21" customHeight="1" x14ac:dyDescent="0.25">
      <c r="A128" s="32"/>
      <c r="B128" s="80"/>
      <c r="C128" s="40"/>
      <c r="D128" s="686"/>
      <c r="E128" s="687"/>
      <c r="F128" s="687"/>
      <c r="G128" s="687"/>
      <c r="H128" s="687"/>
      <c r="I128" s="687"/>
      <c r="J128" s="688"/>
      <c r="L128" s="32"/>
      <c r="M128" s="695"/>
      <c r="N128" s="696"/>
      <c r="O128" s="696"/>
      <c r="P128" s="696"/>
      <c r="Q128" s="697"/>
      <c r="S128" s="32"/>
      <c r="T128" s="704"/>
      <c r="U128" s="705"/>
      <c r="V128" s="705"/>
      <c r="W128" s="705"/>
      <c r="X128" s="706"/>
      <c r="Y128" s="709"/>
      <c r="Z128" s="29"/>
      <c r="AA128" s="32"/>
      <c r="AB128" s="716"/>
      <c r="AC128" s="717"/>
      <c r="AD128" s="717"/>
      <c r="AE128" s="717"/>
      <c r="AF128" s="718"/>
    </row>
    <row r="129" spans="1:32" ht="21" customHeight="1" x14ac:dyDescent="0.25">
      <c r="A129" s="30">
        <v>43</v>
      </c>
      <c r="B129" s="79" t="s">
        <v>39</v>
      </c>
      <c r="C129" s="26" t="s">
        <v>273</v>
      </c>
      <c r="D129" s="680" t="s">
        <v>274</v>
      </c>
      <c r="E129" s="681"/>
      <c r="F129" s="681"/>
      <c r="G129" s="681"/>
      <c r="H129" s="681"/>
      <c r="I129" s="681"/>
      <c r="J129" s="682"/>
      <c r="L129" s="30">
        <v>43</v>
      </c>
      <c r="M129" s="689" t="s">
        <v>275</v>
      </c>
      <c r="N129" s="690"/>
      <c r="O129" s="690"/>
      <c r="P129" s="690"/>
      <c r="Q129" s="691"/>
      <c r="S129" s="30">
        <v>43</v>
      </c>
      <c r="T129" s="698" t="s">
        <v>276</v>
      </c>
      <c r="U129" s="699"/>
      <c r="V129" s="699"/>
      <c r="W129" s="699"/>
      <c r="X129" s="700"/>
      <c r="Y129" s="707" t="s">
        <v>277</v>
      </c>
      <c r="AA129" s="30">
        <v>43</v>
      </c>
      <c r="AB129" s="710" t="s">
        <v>278</v>
      </c>
      <c r="AC129" s="711"/>
      <c r="AD129" s="711"/>
      <c r="AE129" s="711"/>
      <c r="AF129" s="712"/>
    </row>
    <row r="130" spans="1:32" ht="21" customHeight="1" x14ac:dyDescent="0.25">
      <c r="A130" s="31"/>
      <c r="B130" s="80"/>
      <c r="C130" s="40"/>
      <c r="D130" s="683"/>
      <c r="E130" s="684"/>
      <c r="F130" s="684"/>
      <c r="G130" s="684"/>
      <c r="H130" s="684"/>
      <c r="I130" s="684"/>
      <c r="J130" s="685"/>
      <c r="L130" s="31"/>
      <c r="M130" s="692"/>
      <c r="N130" s="693"/>
      <c r="O130" s="693"/>
      <c r="P130" s="693"/>
      <c r="Q130" s="694"/>
      <c r="S130" s="31"/>
      <c r="T130" s="701"/>
      <c r="U130" s="702"/>
      <c r="V130" s="702"/>
      <c r="W130" s="702"/>
      <c r="X130" s="703"/>
      <c r="Y130" s="708"/>
      <c r="Z130" s="29"/>
      <c r="AA130" s="31"/>
      <c r="AB130" s="713"/>
      <c r="AC130" s="714"/>
      <c r="AD130" s="714"/>
      <c r="AE130" s="714"/>
      <c r="AF130" s="715"/>
    </row>
    <row r="131" spans="1:32" ht="21" customHeight="1" x14ac:dyDescent="0.25">
      <c r="A131" s="32"/>
      <c r="B131" s="80"/>
      <c r="C131" s="40"/>
      <c r="D131" s="686"/>
      <c r="E131" s="687"/>
      <c r="F131" s="687"/>
      <c r="G131" s="687"/>
      <c r="H131" s="687"/>
      <c r="I131" s="687"/>
      <c r="J131" s="688"/>
      <c r="L131" s="32"/>
      <c r="M131" s="695"/>
      <c r="N131" s="696"/>
      <c r="O131" s="696"/>
      <c r="P131" s="696"/>
      <c r="Q131" s="697"/>
      <c r="S131" s="32"/>
      <c r="T131" s="704"/>
      <c r="U131" s="705"/>
      <c r="V131" s="705"/>
      <c r="W131" s="705"/>
      <c r="X131" s="706"/>
      <c r="Y131" s="709"/>
      <c r="Z131" s="29"/>
      <c r="AA131" s="32"/>
      <c r="AB131" s="716"/>
      <c r="AC131" s="717"/>
      <c r="AD131" s="717"/>
      <c r="AE131" s="717"/>
      <c r="AF131" s="718"/>
    </row>
    <row r="132" spans="1:32" ht="21" customHeight="1" x14ac:dyDescent="0.25">
      <c r="A132" s="30">
        <v>44</v>
      </c>
      <c r="B132" s="79" t="s">
        <v>39</v>
      </c>
      <c r="C132" s="26" t="s">
        <v>279</v>
      </c>
      <c r="D132" s="680" t="s">
        <v>280</v>
      </c>
      <c r="E132" s="681"/>
      <c r="F132" s="681"/>
      <c r="G132" s="681"/>
      <c r="H132" s="681"/>
      <c r="I132" s="681"/>
      <c r="J132" s="682"/>
      <c r="L132" s="30">
        <v>44</v>
      </c>
      <c r="M132" s="689" t="s">
        <v>281</v>
      </c>
      <c r="N132" s="690"/>
      <c r="O132" s="690"/>
      <c r="P132" s="690"/>
      <c r="Q132" s="691"/>
      <c r="S132" s="30">
        <v>44</v>
      </c>
      <c r="T132" s="698" t="s">
        <v>282</v>
      </c>
      <c r="U132" s="699"/>
      <c r="V132" s="699"/>
      <c r="W132" s="699"/>
      <c r="X132" s="700"/>
      <c r="Y132" s="707" t="s">
        <v>283</v>
      </c>
      <c r="AA132" s="30">
        <v>44</v>
      </c>
      <c r="AB132" s="710" t="s">
        <v>284</v>
      </c>
      <c r="AC132" s="711"/>
      <c r="AD132" s="711"/>
      <c r="AE132" s="711"/>
      <c r="AF132" s="712"/>
    </row>
    <row r="133" spans="1:32" ht="21" customHeight="1" x14ac:dyDescent="0.25">
      <c r="A133" s="31"/>
      <c r="B133" s="80"/>
      <c r="C133" s="40"/>
      <c r="D133" s="683"/>
      <c r="E133" s="684"/>
      <c r="F133" s="684"/>
      <c r="G133" s="684"/>
      <c r="H133" s="684"/>
      <c r="I133" s="684"/>
      <c r="J133" s="685"/>
      <c r="L133" s="31"/>
      <c r="M133" s="692"/>
      <c r="N133" s="693"/>
      <c r="O133" s="693"/>
      <c r="P133" s="693"/>
      <c r="Q133" s="694"/>
      <c r="S133" s="31"/>
      <c r="T133" s="701"/>
      <c r="U133" s="702"/>
      <c r="V133" s="702"/>
      <c r="W133" s="702"/>
      <c r="X133" s="703"/>
      <c r="Y133" s="708"/>
      <c r="Z133" s="29"/>
      <c r="AA133" s="31"/>
      <c r="AB133" s="713"/>
      <c r="AC133" s="714"/>
      <c r="AD133" s="714"/>
      <c r="AE133" s="714"/>
      <c r="AF133" s="715"/>
    </row>
    <row r="134" spans="1:32" ht="21" customHeight="1" x14ac:dyDescent="0.25">
      <c r="A134" s="32"/>
      <c r="B134" s="80"/>
      <c r="C134" s="40"/>
      <c r="D134" s="686"/>
      <c r="E134" s="687"/>
      <c r="F134" s="687"/>
      <c r="G134" s="687"/>
      <c r="H134" s="687"/>
      <c r="I134" s="687"/>
      <c r="J134" s="688"/>
      <c r="L134" s="32"/>
      <c r="M134" s="695"/>
      <c r="N134" s="696"/>
      <c r="O134" s="696"/>
      <c r="P134" s="696"/>
      <c r="Q134" s="697"/>
      <c r="S134" s="32"/>
      <c r="T134" s="704"/>
      <c r="U134" s="705"/>
      <c r="V134" s="705"/>
      <c r="W134" s="705"/>
      <c r="X134" s="706"/>
      <c r="Y134" s="709"/>
      <c r="Z134" s="29"/>
      <c r="AA134" s="32"/>
      <c r="AB134" s="716"/>
      <c r="AC134" s="717"/>
      <c r="AD134" s="717"/>
      <c r="AE134" s="717"/>
      <c r="AF134" s="718"/>
    </row>
    <row r="135" spans="1:32" ht="21" customHeight="1" x14ac:dyDescent="0.25">
      <c r="A135" s="30">
        <v>45</v>
      </c>
      <c r="B135" s="79" t="s">
        <v>39</v>
      </c>
      <c r="C135" s="26" t="s">
        <v>285</v>
      </c>
      <c r="D135" s="680" t="s">
        <v>286</v>
      </c>
      <c r="E135" s="681"/>
      <c r="F135" s="681"/>
      <c r="G135" s="681"/>
      <c r="H135" s="681"/>
      <c r="I135" s="681"/>
      <c r="J135" s="682"/>
      <c r="L135" s="30">
        <v>45</v>
      </c>
      <c r="M135" s="689" t="s">
        <v>287</v>
      </c>
      <c r="N135" s="690"/>
      <c r="O135" s="690"/>
      <c r="P135" s="690"/>
      <c r="Q135" s="691"/>
      <c r="S135" s="30">
        <v>45</v>
      </c>
      <c r="T135" s="698" t="s">
        <v>288</v>
      </c>
      <c r="U135" s="699"/>
      <c r="V135" s="699"/>
      <c r="W135" s="699"/>
      <c r="X135" s="700"/>
      <c r="Y135" s="707" t="s">
        <v>289</v>
      </c>
      <c r="AA135" s="30">
        <v>45</v>
      </c>
      <c r="AB135" s="710" t="s">
        <v>290</v>
      </c>
      <c r="AC135" s="711"/>
      <c r="AD135" s="711"/>
      <c r="AE135" s="711"/>
      <c r="AF135" s="712"/>
    </row>
    <row r="136" spans="1:32" ht="21" customHeight="1" x14ac:dyDescent="0.25">
      <c r="A136" s="31"/>
      <c r="B136" s="80"/>
      <c r="C136" s="40"/>
      <c r="D136" s="683"/>
      <c r="E136" s="684"/>
      <c r="F136" s="684"/>
      <c r="G136" s="684"/>
      <c r="H136" s="684"/>
      <c r="I136" s="684"/>
      <c r="J136" s="685"/>
      <c r="L136" s="31"/>
      <c r="M136" s="692"/>
      <c r="N136" s="693"/>
      <c r="O136" s="693"/>
      <c r="P136" s="693"/>
      <c r="Q136" s="694"/>
      <c r="S136" s="31"/>
      <c r="T136" s="701"/>
      <c r="U136" s="702"/>
      <c r="V136" s="702"/>
      <c r="W136" s="702"/>
      <c r="X136" s="703"/>
      <c r="Y136" s="708"/>
      <c r="Z136" s="29"/>
      <c r="AA136" s="31"/>
      <c r="AB136" s="713"/>
      <c r="AC136" s="714"/>
      <c r="AD136" s="714"/>
      <c r="AE136" s="714"/>
      <c r="AF136" s="715"/>
    </row>
    <row r="137" spans="1:32" ht="21" customHeight="1" x14ac:dyDescent="0.25">
      <c r="A137" s="32"/>
      <c r="B137" s="80"/>
      <c r="C137" s="40"/>
      <c r="D137" s="686"/>
      <c r="E137" s="687"/>
      <c r="F137" s="687"/>
      <c r="G137" s="687"/>
      <c r="H137" s="687"/>
      <c r="I137" s="687"/>
      <c r="J137" s="688"/>
      <c r="L137" s="32"/>
      <c r="M137" s="695"/>
      <c r="N137" s="696"/>
      <c r="O137" s="696"/>
      <c r="P137" s="696"/>
      <c r="Q137" s="697"/>
      <c r="S137" s="32"/>
      <c r="T137" s="704"/>
      <c r="U137" s="705"/>
      <c r="V137" s="705"/>
      <c r="W137" s="705"/>
      <c r="X137" s="706"/>
      <c r="Y137" s="709"/>
      <c r="Z137" s="29"/>
      <c r="AA137" s="32"/>
      <c r="AB137" s="716"/>
      <c r="AC137" s="717"/>
      <c r="AD137" s="717"/>
      <c r="AE137" s="717"/>
      <c r="AF137" s="718"/>
    </row>
    <row r="138" spans="1:32" ht="21" customHeight="1" x14ac:dyDescent="0.25">
      <c r="A138" s="30">
        <v>46</v>
      </c>
      <c r="B138" s="79" t="s">
        <v>39</v>
      </c>
      <c r="C138" s="26" t="s">
        <v>291</v>
      </c>
      <c r="D138" s="680" t="s">
        <v>292</v>
      </c>
      <c r="E138" s="681"/>
      <c r="F138" s="681"/>
      <c r="G138" s="681"/>
      <c r="H138" s="681"/>
      <c r="I138" s="681"/>
      <c r="J138" s="682"/>
      <c r="L138" s="30">
        <v>46</v>
      </c>
      <c r="M138" s="689" t="s">
        <v>293</v>
      </c>
      <c r="N138" s="690"/>
      <c r="O138" s="690"/>
      <c r="P138" s="690"/>
      <c r="Q138" s="691"/>
      <c r="S138" s="30">
        <v>46</v>
      </c>
      <c r="T138" s="698" t="s">
        <v>294</v>
      </c>
      <c r="U138" s="699"/>
      <c r="V138" s="699"/>
      <c r="W138" s="699"/>
      <c r="X138" s="700"/>
      <c r="Y138" s="707" t="s">
        <v>295</v>
      </c>
      <c r="AA138" s="30">
        <v>46</v>
      </c>
      <c r="AB138" s="710" t="s">
        <v>296</v>
      </c>
      <c r="AC138" s="711"/>
      <c r="AD138" s="711"/>
      <c r="AE138" s="711"/>
      <c r="AF138" s="712"/>
    </row>
    <row r="139" spans="1:32" ht="21" customHeight="1" x14ac:dyDescent="0.25">
      <c r="A139" s="31"/>
      <c r="B139" s="80"/>
      <c r="C139" s="40"/>
      <c r="D139" s="683"/>
      <c r="E139" s="684"/>
      <c r="F139" s="684"/>
      <c r="G139" s="684"/>
      <c r="H139" s="684"/>
      <c r="I139" s="684"/>
      <c r="J139" s="685"/>
      <c r="L139" s="31"/>
      <c r="M139" s="692"/>
      <c r="N139" s="693"/>
      <c r="O139" s="693"/>
      <c r="P139" s="693"/>
      <c r="Q139" s="694"/>
      <c r="S139" s="31"/>
      <c r="T139" s="701"/>
      <c r="U139" s="702"/>
      <c r="V139" s="702"/>
      <c r="W139" s="702"/>
      <c r="X139" s="703"/>
      <c r="Y139" s="708"/>
      <c r="Z139" s="29"/>
      <c r="AA139" s="31"/>
      <c r="AB139" s="713"/>
      <c r="AC139" s="714"/>
      <c r="AD139" s="714"/>
      <c r="AE139" s="714"/>
      <c r="AF139" s="715"/>
    </row>
    <row r="140" spans="1:32" ht="21" customHeight="1" x14ac:dyDescent="0.25">
      <c r="A140" s="32"/>
      <c r="B140" s="80"/>
      <c r="C140" s="40"/>
      <c r="D140" s="686"/>
      <c r="E140" s="687"/>
      <c r="F140" s="687"/>
      <c r="G140" s="687"/>
      <c r="H140" s="687"/>
      <c r="I140" s="687"/>
      <c r="J140" s="688"/>
      <c r="L140" s="32"/>
      <c r="M140" s="695"/>
      <c r="N140" s="696"/>
      <c r="O140" s="696"/>
      <c r="P140" s="696"/>
      <c r="Q140" s="697"/>
      <c r="S140" s="32"/>
      <c r="T140" s="704"/>
      <c r="U140" s="705"/>
      <c r="V140" s="705"/>
      <c r="W140" s="705"/>
      <c r="X140" s="706"/>
      <c r="Y140" s="709"/>
      <c r="Z140" s="29"/>
      <c r="AA140" s="32"/>
      <c r="AB140" s="716"/>
      <c r="AC140" s="717"/>
      <c r="AD140" s="717"/>
      <c r="AE140" s="717"/>
      <c r="AF140" s="718"/>
    </row>
    <row r="141" spans="1:32" ht="21" customHeight="1" x14ac:dyDescent="0.25">
      <c r="A141" s="30">
        <v>47</v>
      </c>
      <c r="B141" s="79" t="s">
        <v>39</v>
      </c>
      <c r="C141" s="26" t="s">
        <v>297</v>
      </c>
      <c r="D141" s="680" t="s">
        <v>298</v>
      </c>
      <c r="E141" s="681"/>
      <c r="F141" s="681"/>
      <c r="G141" s="681"/>
      <c r="H141" s="681"/>
      <c r="I141" s="681"/>
      <c r="J141" s="682"/>
      <c r="L141" s="30">
        <v>47</v>
      </c>
      <c r="M141" s="689" t="s">
        <v>111</v>
      </c>
      <c r="N141" s="690"/>
      <c r="O141" s="690"/>
      <c r="P141" s="690"/>
      <c r="Q141" s="691"/>
      <c r="S141" s="30">
        <v>47</v>
      </c>
      <c r="T141" s="698" t="s">
        <v>299</v>
      </c>
      <c r="U141" s="699"/>
      <c r="V141" s="699"/>
      <c r="W141" s="699"/>
      <c r="X141" s="700"/>
      <c r="Y141" s="707" t="s">
        <v>113</v>
      </c>
      <c r="AA141" s="30">
        <v>47</v>
      </c>
      <c r="AB141" s="710" t="s">
        <v>300</v>
      </c>
      <c r="AC141" s="711"/>
      <c r="AD141" s="711"/>
      <c r="AE141" s="711"/>
      <c r="AF141" s="712"/>
    </row>
    <row r="142" spans="1:32" ht="21" customHeight="1" x14ac:dyDescent="0.25">
      <c r="A142" s="31"/>
      <c r="B142" s="80"/>
      <c r="C142" s="40"/>
      <c r="D142" s="683"/>
      <c r="E142" s="684"/>
      <c r="F142" s="684"/>
      <c r="G142" s="684"/>
      <c r="H142" s="684"/>
      <c r="I142" s="684"/>
      <c r="J142" s="685"/>
      <c r="L142" s="31"/>
      <c r="M142" s="692"/>
      <c r="N142" s="693"/>
      <c r="O142" s="693"/>
      <c r="P142" s="693"/>
      <c r="Q142" s="694"/>
      <c r="S142" s="31"/>
      <c r="T142" s="701"/>
      <c r="U142" s="702"/>
      <c r="V142" s="702"/>
      <c r="W142" s="702"/>
      <c r="X142" s="703"/>
      <c r="Y142" s="708"/>
      <c r="Z142" s="29"/>
      <c r="AA142" s="31"/>
      <c r="AB142" s="713"/>
      <c r="AC142" s="714"/>
      <c r="AD142" s="714"/>
      <c r="AE142" s="714"/>
      <c r="AF142" s="715"/>
    </row>
    <row r="143" spans="1:32" ht="21" customHeight="1" x14ac:dyDescent="0.25">
      <c r="A143" s="32"/>
      <c r="B143" s="80"/>
      <c r="C143" s="40"/>
      <c r="D143" s="686"/>
      <c r="E143" s="687"/>
      <c r="F143" s="687"/>
      <c r="G143" s="687"/>
      <c r="H143" s="687"/>
      <c r="I143" s="687"/>
      <c r="J143" s="688"/>
      <c r="L143" s="32"/>
      <c r="M143" s="695"/>
      <c r="N143" s="696"/>
      <c r="O143" s="696"/>
      <c r="P143" s="696"/>
      <c r="Q143" s="697"/>
      <c r="S143" s="32"/>
      <c r="T143" s="704"/>
      <c r="U143" s="705"/>
      <c r="V143" s="705"/>
      <c r="W143" s="705"/>
      <c r="X143" s="706"/>
      <c r="Y143" s="709"/>
      <c r="Z143" s="29"/>
      <c r="AA143" s="32"/>
      <c r="AB143" s="716"/>
      <c r="AC143" s="717"/>
      <c r="AD143" s="717"/>
      <c r="AE143" s="717"/>
      <c r="AF143" s="718"/>
    </row>
    <row r="144" spans="1:32" ht="21" customHeight="1" x14ac:dyDescent="0.25">
      <c r="A144" s="30">
        <v>48</v>
      </c>
      <c r="B144" s="79" t="s">
        <v>39</v>
      </c>
      <c r="C144" s="26" t="s">
        <v>301</v>
      </c>
      <c r="D144" s="680" t="s">
        <v>302</v>
      </c>
      <c r="E144" s="681"/>
      <c r="F144" s="681"/>
      <c r="G144" s="681"/>
      <c r="H144" s="681"/>
      <c r="I144" s="681"/>
      <c r="J144" s="682"/>
      <c r="L144" s="30">
        <v>48</v>
      </c>
      <c r="M144" s="689" t="s">
        <v>303</v>
      </c>
      <c r="N144" s="690"/>
      <c r="O144" s="690"/>
      <c r="P144" s="690"/>
      <c r="Q144" s="691"/>
      <c r="S144" s="30">
        <v>48</v>
      </c>
      <c r="T144" s="698" t="s">
        <v>304</v>
      </c>
      <c r="U144" s="699"/>
      <c r="V144" s="699"/>
      <c r="W144" s="699"/>
      <c r="X144" s="700"/>
      <c r="Y144" s="707" t="s">
        <v>305</v>
      </c>
      <c r="AA144" s="30">
        <v>48</v>
      </c>
      <c r="AB144" s="710" t="s">
        <v>306</v>
      </c>
      <c r="AC144" s="711"/>
      <c r="AD144" s="711"/>
      <c r="AE144" s="711"/>
      <c r="AF144" s="712"/>
    </row>
    <row r="145" spans="1:32" ht="21" customHeight="1" x14ac:dyDescent="0.25">
      <c r="A145" s="31"/>
      <c r="B145" s="80"/>
      <c r="C145" s="40"/>
      <c r="D145" s="683"/>
      <c r="E145" s="684"/>
      <c r="F145" s="684"/>
      <c r="G145" s="684"/>
      <c r="H145" s="684"/>
      <c r="I145" s="684"/>
      <c r="J145" s="685"/>
      <c r="L145" s="31"/>
      <c r="M145" s="692"/>
      <c r="N145" s="693"/>
      <c r="O145" s="693"/>
      <c r="P145" s="693"/>
      <c r="Q145" s="694"/>
      <c r="S145" s="31"/>
      <c r="T145" s="701"/>
      <c r="U145" s="702"/>
      <c r="V145" s="702"/>
      <c r="W145" s="702"/>
      <c r="X145" s="703"/>
      <c r="Y145" s="708"/>
      <c r="Z145" s="29"/>
      <c r="AA145" s="31"/>
      <c r="AB145" s="713"/>
      <c r="AC145" s="714"/>
      <c r="AD145" s="714"/>
      <c r="AE145" s="714"/>
      <c r="AF145" s="715"/>
    </row>
    <row r="146" spans="1:32" ht="21" customHeight="1" x14ac:dyDescent="0.25">
      <c r="A146" s="32"/>
      <c r="B146" s="80"/>
      <c r="C146" s="40"/>
      <c r="D146" s="686"/>
      <c r="E146" s="687"/>
      <c r="F146" s="687"/>
      <c r="G146" s="687"/>
      <c r="H146" s="687"/>
      <c r="I146" s="687"/>
      <c r="J146" s="688"/>
      <c r="L146" s="32"/>
      <c r="M146" s="695"/>
      <c r="N146" s="696"/>
      <c r="O146" s="696"/>
      <c r="P146" s="696"/>
      <c r="Q146" s="697"/>
      <c r="S146" s="32"/>
      <c r="T146" s="704"/>
      <c r="U146" s="705"/>
      <c r="V146" s="705"/>
      <c r="W146" s="705"/>
      <c r="X146" s="706"/>
      <c r="Y146" s="709"/>
      <c r="Z146" s="29"/>
      <c r="AA146" s="32"/>
      <c r="AB146" s="716"/>
      <c r="AC146" s="717"/>
      <c r="AD146" s="717"/>
      <c r="AE146" s="717"/>
      <c r="AF146" s="718"/>
    </row>
    <row r="147" spans="1:32" ht="21" customHeight="1" x14ac:dyDescent="0.25">
      <c r="A147" s="30">
        <v>49</v>
      </c>
      <c r="B147" s="79" t="s">
        <v>39</v>
      </c>
      <c r="C147" s="26" t="s">
        <v>307</v>
      </c>
      <c r="D147" s="680" t="s">
        <v>308</v>
      </c>
      <c r="E147" s="681"/>
      <c r="F147" s="681"/>
      <c r="G147" s="681"/>
      <c r="H147" s="681"/>
      <c r="I147" s="681"/>
      <c r="J147" s="682"/>
      <c r="L147" s="30">
        <v>49</v>
      </c>
      <c r="M147" s="689" t="s">
        <v>67</v>
      </c>
      <c r="N147" s="690"/>
      <c r="O147" s="690"/>
      <c r="P147" s="690"/>
      <c r="Q147" s="691"/>
      <c r="S147" s="30">
        <v>49</v>
      </c>
      <c r="T147" s="698" t="s">
        <v>309</v>
      </c>
      <c r="U147" s="699"/>
      <c r="V147" s="699"/>
      <c r="W147" s="699"/>
      <c r="X147" s="700"/>
      <c r="Y147" s="707" t="s">
        <v>69</v>
      </c>
      <c r="AA147" s="30">
        <v>49</v>
      </c>
      <c r="AB147" s="710" t="s">
        <v>310</v>
      </c>
      <c r="AC147" s="711"/>
      <c r="AD147" s="711"/>
      <c r="AE147" s="711"/>
      <c r="AF147" s="712"/>
    </row>
    <row r="148" spans="1:32" ht="21" customHeight="1" x14ac:dyDescent="0.25">
      <c r="A148" s="31"/>
      <c r="B148" s="80"/>
      <c r="C148" s="40"/>
      <c r="D148" s="683"/>
      <c r="E148" s="684"/>
      <c r="F148" s="684"/>
      <c r="G148" s="684"/>
      <c r="H148" s="684"/>
      <c r="I148" s="684"/>
      <c r="J148" s="685"/>
      <c r="L148" s="31"/>
      <c r="M148" s="692"/>
      <c r="N148" s="693"/>
      <c r="O148" s="693"/>
      <c r="P148" s="693"/>
      <c r="Q148" s="694"/>
      <c r="S148" s="31"/>
      <c r="T148" s="701"/>
      <c r="U148" s="702"/>
      <c r="V148" s="702"/>
      <c r="W148" s="702"/>
      <c r="X148" s="703"/>
      <c r="Y148" s="708"/>
      <c r="Z148" s="29"/>
      <c r="AA148" s="31"/>
      <c r="AB148" s="713"/>
      <c r="AC148" s="714"/>
      <c r="AD148" s="714"/>
      <c r="AE148" s="714"/>
      <c r="AF148" s="715"/>
    </row>
    <row r="149" spans="1:32" ht="21" customHeight="1" x14ac:dyDescent="0.25">
      <c r="A149" s="32"/>
      <c r="B149" s="80"/>
      <c r="C149" s="40"/>
      <c r="D149" s="686"/>
      <c r="E149" s="687"/>
      <c r="F149" s="687"/>
      <c r="G149" s="687"/>
      <c r="H149" s="687"/>
      <c r="I149" s="687"/>
      <c r="J149" s="688"/>
      <c r="L149" s="32"/>
      <c r="M149" s="695"/>
      <c r="N149" s="696"/>
      <c r="O149" s="696"/>
      <c r="P149" s="696"/>
      <c r="Q149" s="697"/>
      <c r="S149" s="32"/>
      <c r="T149" s="704"/>
      <c r="U149" s="705"/>
      <c r="V149" s="705"/>
      <c r="W149" s="705"/>
      <c r="X149" s="706"/>
      <c r="Y149" s="709"/>
      <c r="Z149" s="29"/>
      <c r="AA149" s="32"/>
      <c r="AB149" s="716"/>
      <c r="AC149" s="717"/>
      <c r="AD149" s="717"/>
      <c r="AE149" s="717"/>
      <c r="AF149" s="718"/>
    </row>
    <row r="150" spans="1:32" ht="21" customHeight="1" x14ac:dyDescent="0.25">
      <c r="A150" s="30">
        <v>50</v>
      </c>
      <c r="B150" s="79" t="s">
        <v>39</v>
      </c>
      <c r="C150" s="26" t="s">
        <v>311</v>
      </c>
      <c r="D150" s="680" t="s">
        <v>312</v>
      </c>
      <c r="E150" s="681"/>
      <c r="F150" s="681"/>
      <c r="G150" s="681"/>
      <c r="H150" s="681"/>
      <c r="I150" s="681"/>
      <c r="J150" s="682"/>
      <c r="L150" s="30">
        <v>50</v>
      </c>
      <c r="M150" s="689" t="s">
        <v>313</v>
      </c>
      <c r="N150" s="690"/>
      <c r="O150" s="690"/>
      <c r="P150" s="690"/>
      <c r="Q150" s="691"/>
      <c r="S150" s="30">
        <v>50</v>
      </c>
      <c r="T150" s="698" t="s">
        <v>314</v>
      </c>
      <c r="U150" s="699"/>
      <c r="V150" s="699"/>
      <c r="W150" s="699"/>
      <c r="X150" s="700"/>
      <c r="Y150" s="707" t="s">
        <v>315</v>
      </c>
      <c r="AA150" s="30">
        <v>50</v>
      </c>
      <c r="AB150" s="710" t="s">
        <v>316</v>
      </c>
      <c r="AC150" s="711"/>
      <c r="AD150" s="711"/>
      <c r="AE150" s="711"/>
      <c r="AF150" s="712"/>
    </row>
    <row r="151" spans="1:32" ht="21" customHeight="1" x14ac:dyDescent="0.25">
      <c r="A151" s="31"/>
      <c r="B151" s="80"/>
      <c r="C151" s="40"/>
      <c r="D151" s="683"/>
      <c r="E151" s="684"/>
      <c r="F151" s="684"/>
      <c r="G151" s="684"/>
      <c r="H151" s="684"/>
      <c r="I151" s="684"/>
      <c r="J151" s="685"/>
      <c r="L151" s="31"/>
      <c r="M151" s="692"/>
      <c r="N151" s="693"/>
      <c r="O151" s="693"/>
      <c r="P151" s="693"/>
      <c r="Q151" s="694"/>
      <c r="S151" s="31"/>
      <c r="T151" s="701"/>
      <c r="U151" s="702"/>
      <c r="V151" s="702"/>
      <c r="W151" s="702"/>
      <c r="X151" s="703"/>
      <c r="Y151" s="708"/>
      <c r="Z151" s="29"/>
      <c r="AA151" s="31"/>
      <c r="AB151" s="713"/>
      <c r="AC151" s="714"/>
      <c r="AD151" s="714"/>
      <c r="AE151" s="714"/>
      <c r="AF151" s="715"/>
    </row>
    <row r="152" spans="1:32" ht="21" customHeight="1" x14ac:dyDescent="0.25">
      <c r="A152" s="32"/>
      <c r="B152" s="80"/>
      <c r="C152" s="40"/>
      <c r="D152" s="686"/>
      <c r="E152" s="687"/>
      <c r="F152" s="687"/>
      <c r="G152" s="687"/>
      <c r="H152" s="687"/>
      <c r="I152" s="687"/>
      <c r="J152" s="688"/>
      <c r="L152" s="32"/>
      <c r="M152" s="695"/>
      <c r="N152" s="696"/>
      <c r="O152" s="696"/>
      <c r="P152" s="696"/>
      <c r="Q152" s="697"/>
      <c r="S152" s="32"/>
      <c r="T152" s="704"/>
      <c r="U152" s="705"/>
      <c r="V152" s="705"/>
      <c r="W152" s="705"/>
      <c r="X152" s="706"/>
      <c r="Y152" s="709"/>
      <c r="Z152" s="29"/>
      <c r="AA152" s="32"/>
      <c r="AB152" s="716"/>
      <c r="AC152" s="717"/>
      <c r="AD152" s="717"/>
      <c r="AE152" s="717"/>
      <c r="AF152" s="718"/>
    </row>
    <row r="153" spans="1:32" ht="21" customHeight="1" x14ac:dyDescent="0.25">
      <c r="A153" s="30">
        <v>51</v>
      </c>
      <c r="B153" s="79" t="s">
        <v>39</v>
      </c>
      <c r="C153" s="26" t="s">
        <v>317</v>
      </c>
      <c r="D153" s="680" t="s">
        <v>318</v>
      </c>
      <c r="E153" s="681"/>
      <c r="F153" s="681"/>
      <c r="G153" s="681"/>
      <c r="H153" s="681"/>
      <c r="I153" s="681"/>
      <c r="J153" s="682"/>
      <c r="L153" s="30">
        <v>51</v>
      </c>
      <c r="M153" s="689" t="s">
        <v>319</v>
      </c>
      <c r="N153" s="690"/>
      <c r="O153" s="690"/>
      <c r="P153" s="690"/>
      <c r="Q153" s="691"/>
      <c r="S153" s="30">
        <v>51</v>
      </c>
      <c r="T153" s="698" t="s">
        <v>320</v>
      </c>
      <c r="U153" s="699"/>
      <c r="V153" s="699"/>
      <c r="W153" s="699"/>
      <c r="X153" s="700"/>
      <c r="Y153" s="707" t="s">
        <v>321</v>
      </c>
      <c r="AA153" s="30">
        <v>51</v>
      </c>
      <c r="AB153" s="710" t="s">
        <v>322</v>
      </c>
      <c r="AC153" s="711"/>
      <c r="AD153" s="711"/>
      <c r="AE153" s="711"/>
      <c r="AF153" s="712"/>
    </row>
    <row r="154" spans="1:32" ht="21" customHeight="1" x14ac:dyDescent="0.25">
      <c r="A154" s="31"/>
      <c r="B154" s="80"/>
      <c r="C154" s="40"/>
      <c r="D154" s="683"/>
      <c r="E154" s="684"/>
      <c r="F154" s="684"/>
      <c r="G154" s="684"/>
      <c r="H154" s="684"/>
      <c r="I154" s="684"/>
      <c r="J154" s="685"/>
      <c r="L154" s="31"/>
      <c r="M154" s="692"/>
      <c r="N154" s="693"/>
      <c r="O154" s="693"/>
      <c r="P154" s="693"/>
      <c r="Q154" s="694"/>
      <c r="S154" s="31"/>
      <c r="T154" s="701"/>
      <c r="U154" s="702"/>
      <c r="V154" s="702"/>
      <c r="W154" s="702"/>
      <c r="X154" s="703"/>
      <c r="Y154" s="708"/>
      <c r="Z154" s="29"/>
      <c r="AA154" s="31"/>
      <c r="AB154" s="713"/>
      <c r="AC154" s="714"/>
      <c r="AD154" s="714"/>
      <c r="AE154" s="714"/>
      <c r="AF154" s="715"/>
    </row>
    <row r="155" spans="1:32" ht="21" customHeight="1" x14ac:dyDescent="0.25">
      <c r="A155" s="32"/>
      <c r="B155" s="80"/>
      <c r="C155" s="40"/>
      <c r="D155" s="686"/>
      <c r="E155" s="687"/>
      <c r="F155" s="687"/>
      <c r="G155" s="687"/>
      <c r="H155" s="687"/>
      <c r="I155" s="687"/>
      <c r="J155" s="688"/>
      <c r="L155" s="32"/>
      <c r="M155" s="695"/>
      <c r="N155" s="696"/>
      <c r="O155" s="696"/>
      <c r="P155" s="696"/>
      <c r="Q155" s="697"/>
      <c r="S155" s="32"/>
      <c r="T155" s="704"/>
      <c r="U155" s="705"/>
      <c r="V155" s="705"/>
      <c r="W155" s="705"/>
      <c r="X155" s="706"/>
      <c r="Y155" s="709"/>
      <c r="Z155" s="29"/>
      <c r="AA155" s="32"/>
      <c r="AB155" s="716"/>
      <c r="AC155" s="717"/>
      <c r="AD155" s="717"/>
      <c r="AE155" s="717"/>
      <c r="AF155" s="718"/>
    </row>
    <row r="156" spans="1:32" ht="21" customHeight="1" x14ac:dyDescent="0.25">
      <c r="A156" s="30">
        <v>52</v>
      </c>
      <c r="B156" s="79" t="s">
        <v>39</v>
      </c>
      <c r="C156" s="26" t="s">
        <v>317</v>
      </c>
      <c r="D156" s="680" t="s">
        <v>323</v>
      </c>
      <c r="E156" s="681"/>
      <c r="F156" s="681"/>
      <c r="G156" s="681"/>
      <c r="H156" s="681"/>
      <c r="I156" s="681"/>
      <c r="J156" s="682"/>
      <c r="L156" s="30">
        <v>52</v>
      </c>
      <c r="M156" s="689" t="s">
        <v>324</v>
      </c>
      <c r="N156" s="690"/>
      <c r="O156" s="690"/>
      <c r="P156" s="690"/>
      <c r="Q156" s="691"/>
      <c r="S156" s="30">
        <v>52</v>
      </c>
      <c r="T156" s="698" t="s">
        <v>325</v>
      </c>
      <c r="U156" s="699"/>
      <c r="V156" s="699"/>
      <c r="W156" s="699"/>
      <c r="X156" s="700"/>
      <c r="Y156" s="707" t="s">
        <v>326</v>
      </c>
      <c r="AA156" s="30">
        <v>52</v>
      </c>
      <c r="AB156" s="710" t="s">
        <v>327</v>
      </c>
      <c r="AC156" s="711"/>
      <c r="AD156" s="711"/>
      <c r="AE156" s="711"/>
      <c r="AF156" s="712"/>
    </row>
    <row r="157" spans="1:32" ht="21" customHeight="1" x14ac:dyDescent="0.25">
      <c r="A157" s="31"/>
      <c r="B157" s="80"/>
      <c r="C157" s="40"/>
      <c r="D157" s="683"/>
      <c r="E157" s="684"/>
      <c r="F157" s="684"/>
      <c r="G157" s="684"/>
      <c r="H157" s="684"/>
      <c r="I157" s="684"/>
      <c r="J157" s="685"/>
      <c r="L157" s="31"/>
      <c r="M157" s="692"/>
      <c r="N157" s="693"/>
      <c r="O157" s="693"/>
      <c r="P157" s="693"/>
      <c r="Q157" s="694"/>
      <c r="S157" s="31"/>
      <c r="T157" s="701"/>
      <c r="U157" s="702"/>
      <c r="V157" s="702"/>
      <c r="W157" s="702"/>
      <c r="X157" s="703"/>
      <c r="Y157" s="708"/>
      <c r="Z157" s="29"/>
      <c r="AA157" s="31"/>
      <c r="AB157" s="713"/>
      <c r="AC157" s="714"/>
      <c r="AD157" s="714"/>
      <c r="AE157" s="714"/>
      <c r="AF157" s="715"/>
    </row>
    <row r="158" spans="1:32" ht="21" customHeight="1" x14ac:dyDescent="0.25">
      <c r="A158" s="32"/>
      <c r="B158" s="80"/>
      <c r="C158" s="40"/>
      <c r="D158" s="686"/>
      <c r="E158" s="687"/>
      <c r="F158" s="687"/>
      <c r="G158" s="687"/>
      <c r="H158" s="687"/>
      <c r="I158" s="687"/>
      <c r="J158" s="688"/>
      <c r="L158" s="32"/>
      <c r="M158" s="695"/>
      <c r="N158" s="696"/>
      <c r="O158" s="696"/>
      <c r="P158" s="696"/>
      <c r="Q158" s="697"/>
      <c r="S158" s="32"/>
      <c r="T158" s="704"/>
      <c r="U158" s="705"/>
      <c r="V158" s="705"/>
      <c r="W158" s="705"/>
      <c r="X158" s="706"/>
      <c r="Y158" s="709"/>
      <c r="Z158" s="29"/>
      <c r="AA158" s="32"/>
      <c r="AB158" s="716"/>
      <c r="AC158" s="717"/>
      <c r="AD158" s="717"/>
      <c r="AE158" s="717"/>
      <c r="AF158" s="718"/>
    </row>
    <row r="159" spans="1:32" ht="21" customHeight="1" x14ac:dyDescent="0.25">
      <c r="A159" s="30">
        <v>53</v>
      </c>
      <c r="B159" s="79" t="s">
        <v>39</v>
      </c>
      <c r="C159" s="26" t="s">
        <v>317</v>
      </c>
      <c r="D159" s="680" t="s">
        <v>328</v>
      </c>
      <c r="E159" s="681"/>
      <c r="F159" s="681"/>
      <c r="G159" s="681"/>
      <c r="H159" s="681"/>
      <c r="I159" s="681"/>
      <c r="J159" s="682"/>
      <c r="L159" s="30">
        <v>53</v>
      </c>
      <c r="M159" s="689" t="s">
        <v>329</v>
      </c>
      <c r="N159" s="690"/>
      <c r="O159" s="690"/>
      <c r="P159" s="690"/>
      <c r="Q159" s="691"/>
      <c r="S159" s="30">
        <v>53</v>
      </c>
      <c r="T159" s="698" t="s">
        <v>330</v>
      </c>
      <c r="U159" s="699"/>
      <c r="V159" s="699"/>
      <c r="W159" s="699"/>
      <c r="X159" s="700"/>
      <c r="Y159" s="707" t="s">
        <v>331</v>
      </c>
      <c r="AA159" s="30">
        <v>53</v>
      </c>
      <c r="AB159" s="710" t="s">
        <v>332</v>
      </c>
      <c r="AC159" s="711"/>
      <c r="AD159" s="711"/>
      <c r="AE159" s="711"/>
      <c r="AF159" s="712"/>
    </row>
    <row r="160" spans="1:32" ht="21" customHeight="1" x14ac:dyDescent="0.25">
      <c r="A160" s="31"/>
      <c r="B160" s="80"/>
      <c r="C160" s="40"/>
      <c r="D160" s="683"/>
      <c r="E160" s="684"/>
      <c r="F160" s="684"/>
      <c r="G160" s="684"/>
      <c r="H160" s="684"/>
      <c r="I160" s="684"/>
      <c r="J160" s="685"/>
      <c r="L160" s="31"/>
      <c r="M160" s="692"/>
      <c r="N160" s="693"/>
      <c r="O160" s="693"/>
      <c r="P160" s="693"/>
      <c r="Q160" s="694"/>
      <c r="S160" s="31"/>
      <c r="T160" s="701"/>
      <c r="U160" s="702"/>
      <c r="V160" s="702"/>
      <c r="W160" s="702"/>
      <c r="X160" s="703"/>
      <c r="Y160" s="708"/>
      <c r="Z160" s="29"/>
      <c r="AA160" s="31"/>
      <c r="AB160" s="713"/>
      <c r="AC160" s="714"/>
      <c r="AD160" s="714"/>
      <c r="AE160" s="714"/>
      <c r="AF160" s="715"/>
    </row>
    <row r="161" spans="1:32" ht="21" customHeight="1" x14ac:dyDescent="0.25">
      <c r="A161" s="32"/>
      <c r="B161" s="80"/>
      <c r="C161" s="40"/>
      <c r="D161" s="686"/>
      <c r="E161" s="687"/>
      <c r="F161" s="687"/>
      <c r="G161" s="687"/>
      <c r="H161" s="687"/>
      <c r="I161" s="687"/>
      <c r="J161" s="688"/>
      <c r="L161" s="32"/>
      <c r="M161" s="695"/>
      <c r="N161" s="696"/>
      <c r="O161" s="696"/>
      <c r="P161" s="696"/>
      <c r="Q161" s="697"/>
      <c r="S161" s="32"/>
      <c r="T161" s="704"/>
      <c r="U161" s="705"/>
      <c r="V161" s="705"/>
      <c r="W161" s="705"/>
      <c r="X161" s="706"/>
      <c r="Y161" s="709"/>
      <c r="Z161" s="29"/>
      <c r="AA161" s="32"/>
      <c r="AB161" s="716"/>
      <c r="AC161" s="717"/>
      <c r="AD161" s="717"/>
      <c r="AE161" s="717"/>
      <c r="AF161" s="718"/>
    </row>
    <row r="162" spans="1:32" ht="21" customHeight="1" x14ac:dyDescent="0.25">
      <c r="A162" s="30">
        <v>54</v>
      </c>
      <c r="B162" s="79" t="s">
        <v>39</v>
      </c>
      <c r="C162" s="26" t="s">
        <v>317</v>
      </c>
      <c r="D162" s="680" t="s">
        <v>333</v>
      </c>
      <c r="E162" s="681"/>
      <c r="F162" s="681"/>
      <c r="G162" s="681"/>
      <c r="H162" s="681"/>
      <c r="I162" s="681"/>
      <c r="J162" s="682"/>
      <c r="L162" s="30">
        <v>54</v>
      </c>
      <c r="M162" s="689" t="s">
        <v>334</v>
      </c>
      <c r="N162" s="690"/>
      <c r="O162" s="690"/>
      <c r="P162" s="690"/>
      <c r="Q162" s="691"/>
      <c r="S162" s="30">
        <v>54</v>
      </c>
      <c r="T162" s="698" t="s">
        <v>335</v>
      </c>
      <c r="U162" s="699"/>
      <c r="V162" s="699"/>
      <c r="W162" s="699"/>
      <c r="X162" s="700"/>
      <c r="Y162" s="707" t="s">
        <v>336</v>
      </c>
      <c r="AA162" s="30">
        <v>54</v>
      </c>
      <c r="AB162" s="710" t="s">
        <v>337</v>
      </c>
      <c r="AC162" s="711"/>
      <c r="AD162" s="711"/>
      <c r="AE162" s="711"/>
      <c r="AF162" s="712"/>
    </row>
    <row r="163" spans="1:32" ht="21" customHeight="1" x14ac:dyDescent="0.25">
      <c r="A163" s="31"/>
      <c r="B163" s="80"/>
      <c r="C163" s="40"/>
      <c r="D163" s="683"/>
      <c r="E163" s="684"/>
      <c r="F163" s="684"/>
      <c r="G163" s="684"/>
      <c r="H163" s="684"/>
      <c r="I163" s="684"/>
      <c r="J163" s="685"/>
      <c r="L163" s="31"/>
      <c r="M163" s="692"/>
      <c r="N163" s="693"/>
      <c r="O163" s="693"/>
      <c r="P163" s="693"/>
      <c r="Q163" s="694"/>
      <c r="S163" s="31"/>
      <c r="T163" s="701"/>
      <c r="U163" s="702"/>
      <c r="V163" s="702"/>
      <c r="W163" s="702"/>
      <c r="X163" s="703"/>
      <c r="Y163" s="708"/>
      <c r="Z163" s="29"/>
      <c r="AA163" s="31"/>
      <c r="AB163" s="713"/>
      <c r="AC163" s="714"/>
      <c r="AD163" s="714"/>
      <c r="AE163" s="714"/>
      <c r="AF163" s="715"/>
    </row>
    <row r="164" spans="1:32" ht="21" customHeight="1" x14ac:dyDescent="0.25">
      <c r="A164" s="32"/>
      <c r="B164" s="80"/>
      <c r="C164" s="40"/>
      <c r="D164" s="686"/>
      <c r="E164" s="687"/>
      <c r="F164" s="687"/>
      <c r="G164" s="687"/>
      <c r="H164" s="687"/>
      <c r="I164" s="687"/>
      <c r="J164" s="688"/>
      <c r="L164" s="32"/>
      <c r="M164" s="695"/>
      <c r="N164" s="696"/>
      <c r="O164" s="696"/>
      <c r="P164" s="696"/>
      <c r="Q164" s="697"/>
      <c r="S164" s="32"/>
      <c r="T164" s="704"/>
      <c r="U164" s="705"/>
      <c r="V164" s="705"/>
      <c r="W164" s="705"/>
      <c r="X164" s="706"/>
      <c r="Y164" s="709"/>
      <c r="Z164" s="29"/>
      <c r="AA164" s="32"/>
      <c r="AB164" s="716"/>
      <c r="AC164" s="717"/>
      <c r="AD164" s="717"/>
      <c r="AE164" s="717"/>
      <c r="AF164" s="718"/>
    </row>
    <row r="165" spans="1:32" ht="21" customHeight="1" x14ac:dyDescent="0.25">
      <c r="A165" s="30">
        <v>55</v>
      </c>
      <c r="B165" s="79" t="s">
        <v>39</v>
      </c>
      <c r="C165" s="26" t="s">
        <v>317</v>
      </c>
      <c r="D165" s="680" t="s">
        <v>338</v>
      </c>
      <c r="E165" s="681"/>
      <c r="F165" s="681"/>
      <c r="G165" s="681"/>
      <c r="H165" s="681"/>
      <c r="I165" s="681"/>
      <c r="J165" s="682"/>
      <c r="L165" s="30">
        <v>55</v>
      </c>
      <c r="M165" s="689" t="s">
        <v>339</v>
      </c>
      <c r="N165" s="690"/>
      <c r="O165" s="690"/>
      <c r="P165" s="690"/>
      <c r="Q165" s="691"/>
      <c r="S165" s="30">
        <v>55</v>
      </c>
      <c r="T165" s="698" t="s">
        <v>340</v>
      </c>
      <c r="U165" s="699"/>
      <c r="V165" s="699"/>
      <c r="W165" s="699"/>
      <c r="X165" s="700"/>
      <c r="Y165" s="707" t="s">
        <v>341</v>
      </c>
      <c r="AA165" s="30">
        <v>55</v>
      </c>
      <c r="AB165" s="710" t="s">
        <v>342</v>
      </c>
      <c r="AC165" s="711"/>
      <c r="AD165" s="711"/>
      <c r="AE165" s="711"/>
      <c r="AF165" s="712"/>
    </row>
    <row r="166" spans="1:32" ht="21" customHeight="1" x14ac:dyDescent="0.25">
      <c r="A166" s="31"/>
      <c r="B166" s="80"/>
      <c r="C166" s="40"/>
      <c r="D166" s="683"/>
      <c r="E166" s="684"/>
      <c r="F166" s="684"/>
      <c r="G166" s="684"/>
      <c r="H166" s="684"/>
      <c r="I166" s="684"/>
      <c r="J166" s="685"/>
      <c r="L166" s="31"/>
      <c r="M166" s="692"/>
      <c r="N166" s="693"/>
      <c r="O166" s="693"/>
      <c r="P166" s="693"/>
      <c r="Q166" s="694"/>
      <c r="S166" s="31"/>
      <c r="T166" s="701"/>
      <c r="U166" s="702"/>
      <c r="V166" s="702"/>
      <c r="W166" s="702"/>
      <c r="X166" s="703"/>
      <c r="Y166" s="708"/>
      <c r="Z166" s="29"/>
      <c r="AA166" s="31"/>
      <c r="AB166" s="713"/>
      <c r="AC166" s="714"/>
      <c r="AD166" s="714"/>
      <c r="AE166" s="714"/>
      <c r="AF166" s="715"/>
    </row>
    <row r="167" spans="1:32" ht="21" customHeight="1" x14ac:dyDescent="0.25">
      <c r="A167" s="32"/>
      <c r="B167" s="80"/>
      <c r="C167" s="40"/>
      <c r="D167" s="686"/>
      <c r="E167" s="687"/>
      <c r="F167" s="687"/>
      <c r="G167" s="687"/>
      <c r="H167" s="687"/>
      <c r="I167" s="687"/>
      <c r="J167" s="688"/>
      <c r="L167" s="32"/>
      <c r="M167" s="695"/>
      <c r="N167" s="696"/>
      <c r="O167" s="696"/>
      <c r="P167" s="696"/>
      <c r="Q167" s="697"/>
      <c r="S167" s="32"/>
      <c r="T167" s="704"/>
      <c r="U167" s="705"/>
      <c r="V167" s="705"/>
      <c r="W167" s="705"/>
      <c r="X167" s="706"/>
      <c r="Y167" s="709"/>
      <c r="Z167" s="29"/>
      <c r="AA167" s="32"/>
      <c r="AB167" s="716"/>
      <c r="AC167" s="717"/>
      <c r="AD167" s="717"/>
      <c r="AE167" s="717"/>
      <c r="AF167" s="718"/>
    </row>
    <row r="168" spans="1:32" ht="21" customHeight="1" x14ac:dyDescent="0.25">
      <c r="A168" s="30">
        <v>56</v>
      </c>
      <c r="B168" s="79" t="s">
        <v>39</v>
      </c>
      <c r="C168" s="26" t="s">
        <v>343</v>
      </c>
      <c r="D168" s="680" t="s">
        <v>344</v>
      </c>
      <c r="E168" s="681"/>
      <c r="F168" s="681"/>
      <c r="G168" s="681"/>
      <c r="H168" s="681"/>
      <c r="I168" s="681"/>
      <c r="J168" s="682"/>
      <c r="L168" s="30">
        <v>56</v>
      </c>
      <c r="M168" s="689" t="s">
        <v>345</v>
      </c>
      <c r="N168" s="690"/>
      <c r="O168" s="690"/>
      <c r="P168" s="690"/>
      <c r="Q168" s="691"/>
      <c r="S168" s="30">
        <v>56</v>
      </c>
      <c r="T168" s="698" t="s">
        <v>346</v>
      </c>
      <c r="U168" s="699"/>
      <c r="V168" s="699"/>
      <c r="W168" s="699"/>
      <c r="X168" s="700"/>
      <c r="Y168" s="707" t="s">
        <v>347</v>
      </c>
      <c r="AA168" s="30">
        <v>56</v>
      </c>
      <c r="AB168" s="710" t="s">
        <v>348</v>
      </c>
      <c r="AC168" s="711"/>
      <c r="AD168" s="711"/>
      <c r="AE168" s="711"/>
      <c r="AF168" s="712"/>
    </row>
    <row r="169" spans="1:32" ht="21" customHeight="1" x14ac:dyDescent="0.25">
      <c r="A169" s="31"/>
      <c r="B169" s="80"/>
      <c r="C169" s="40"/>
      <c r="D169" s="683"/>
      <c r="E169" s="684"/>
      <c r="F169" s="684"/>
      <c r="G169" s="684"/>
      <c r="H169" s="684"/>
      <c r="I169" s="684"/>
      <c r="J169" s="685"/>
      <c r="L169" s="31"/>
      <c r="M169" s="692"/>
      <c r="N169" s="693"/>
      <c r="O169" s="693"/>
      <c r="P169" s="693"/>
      <c r="Q169" s="694"/>
      <c r="S169" s="31"/>
      <c r="T169" s="701"/>
      <c r="U169" s="702"/>
      <c r="V169" s="702"/>
      <c r="W169" s="702"/>
      <c r="X169" s="703"/>
      <c r="Y169" s="708"/>
      <c r="Z169" s="29"/>
      <c r="AA169" s="31"/>
      <c r="AB169" s="713"/>
      <c r="AC169" s="714"/>
      <c r="AD169" s="714"/>
      <c r="AE169" s="714"/>
      <c r="AF169" s="715"/>
    </row>
    <row r="170" spans="1:32" ht="21" customHeight="1" x14ac:dyDescent="0.25">
      <c r="A170" s="32"/>
      <c r="B170" s="80"/>
      <c r="C170" s="40"/>
      <c r="D170" s="686"/>
      <c r="E170" s="687"/>
      <c r="F170" s="687"/>
      <c r="G170" s="687"/>
      <c r="H170" s="687"/>
      <c r="I170" s="687"/>
      <c r="J170" s="688"/>
      <c r="L170" s="32"/>
      <c r="M170" s="695"/>
      <c r="N170" s="696"/>
      <c r="O170" s="696"/>
      <c r="P170" s="696"/>
      <c r="Q170" s="697"/>
      <c r="S170" s="32"/>
      <c r="T170" s="704"/>
      <c r="U170" s="705"/>
      <c r="V170" s="705"/>
      <c r="W170" s="705"/>
      <c r="X170" s="706"/>
      <c r="Y170" s="709"/>
      <c r="Z170" s="29"/>
      <c r="AA170" s="32"/>
      <c r="AB170" s="716"/>
      <c r="AC170" s="717"/>
      <c r="AD170" s="717"/>
      <c r="AE170" s="717"/>
      <c r="AF170" s="718"/>
    </row>
    <row r="171" spans="1:32" ht="21" customHeight="1" x14ac:dyDescent="0.25">
      <c r="A171" s="30">
        <v>57</v>
      </c>
      <c r="B171" s="79" t="s">
        <v>39</v>
      </c>
      <c r="C171" s="26" t="s">
        <v>349</v>
      </c>
      <c r="D171" s="680" t="s">
        <v>350</v>
      </c>
      <c r="E171" s="681"/>
      <c r="F171" s="681"/>
      <c r="G171" s="681"/>
      <c r="H171" s="681"/>
      <c r="I171" s="681"/>
      <c r="J171" s="682"/>
      <c r="L171" s="30">
        <v>57</v>
      </c>
      <c r="M171" s="689" t="s">
        <v>351</v>
      </c>
      <c r="N171" s="690"/>
      <c r="O171" s="690"/>
      <c r="P171" s="690"/>
      <c r="Q171" s="691"/>
      <c r="S171" s="30">
        <v>57</v>
      </c>
      <c r="T171" s="698" t="s">
        <v>352</v>
      </c>
      <c r="U171" s="699"/>
      <c r="V171" s="699"/>
      <c r="W171" s="699"/>
      <c r="X171" s="700"/>
      <c r="Y171" s="707" t="s">
        <v>353</v>
      </c>
      <c r="AA171" s="30">
        <v>57</v>
      </c>
      <c r="AB171" s="710" t="s">
        <v>354</v>
      </c>
      <c r="AC171" s="711"/>
      <c r="AD171" s="711"/>
      <c r="AE171" s="711"/>
      <c r="AF171" s="712"/>
    </row>
    <row r="172" spans="1:32" ht="21" customHeight="1" x14ac:dyDescent="0.25">
      <c r="A172" s="31"/>
      <c r="B172" s="80"/>
      <c r="C172" s="40"/>
      <c r="D172" s="683"/>
      <c r="E172" s="684"/>
      <c r="F172" s="684"/>
      <c r="G172" s="684"/>
      <c r="H172" s="684"/>
      <c r="I172" s="684"/>
      <c r="J172" s="685"/>
      <c r="L172" s="31"/>
      <c r="M172" s="692"/>
      <c r="N172" s="693"/>
      <c r="O172" s="693"/>
      <c r="P172" s="693"/>
      <c r="Q172" s="694"/>
      <c r="S172" s="31"/>
      <c r="T172" s="701"/>
      <c r="U172" s="702"/>
      <c r="V172" s="702"/>
      <c r="W172" s="702"/>
      <c r="X172" s="703"/>
      <c r="Y172" s="708"/>
      <c r="Z172" s="29"/>
      <c r="AA172" s="31"/>
      <c r="AB172" s="713"/>
      <c r="AC172" s="714"/>
      <c r="AD172" s="714"/>
      <c r="AE172" s="714"/>
      <c r="AF172" s="715"/>
    </row>
    <row r="173" spans="1:32" ht="21" customHeight="1" x14ac:dyDescent="0.25">
      <c r="A173" s="32"/>
      <c r="B173" s="80"/>
      <c r="C173" s="40"/>
      <c r="D173" s="686"/>
      <c r="E173" s="687"/>
      <c r="F173" s="687"/>
      <c r="G173" s="687"/>
      <c r="H173" s="687"/>
      <c r="I173" s="687"/>
      <c r="J173" s="688"/>
      <c r="L173" s="32"/>
      <c r="M173" s="695"/>
      <c r="N173" s="696"/>
      <c r="O173" s="696"/>
      <c r="P173" s="696"/>
      <c r="Q173" s="697"/>
      <c r="S173" s="32"/>
      <c r="T173" s="704"/>
      <c r="U173" s="705"/>
      <c r="V173" s="705"/>
      <c r="W173" s="705"/>
      <c r="X173" s="706"/>
      <c r="Y173" s="709"/>
      <c r="Z173" s="29"/>
      <c r="AA173" s="32"/>
      <c r="AB173" s="716"/>
      <c r="AC173" s="717"/>
      <c r="AD173" s="717"/>
      <c r="AE173" s="717"/>
      <c r="AF173" s="718"/>
    </row>
    <row r="174" spans="1:32" ht="21" customHeight="1" x14ac:dyDescent="0.25">
      <c r="A174" s="30">
        <v>58</v>
      </c>
      <c r="B174" s="79" t="s">
        <v>39</v>
      </c>
      <c r="C174" s="26" t="s">
        <v>355</v>
      </c>
      <c r="D174" s="680" t="s">
        <v>356</v>
      </c>
      <c r="E174" s="681"/>
      <c r="F174" s="681"/>
      <c r="G174" s="681"/>
      <c r="H174" s="681"/>
      <c r="I174" s="681"/>
      <c r="J174" s="682"/>
      <c r="L174" s="30">
        <v>58</v>
      </c>
      <c r="M174" s="689" t="s">
        <v>357</v>
      </c>
      <c r="N174" s="690"/>
      <c r="O174" s="690"/>
      <c r="P174" s="690"/>
      <c r="Q174" s="691"/>
      <c r="S174" s="30">
        <v>58</v>
      </c>
      <c r="T174" s="698" t="s">
        <v>358</v>
      </c>
      <c r="U174" s="699"/>
      <c r="V174" s="699"/>
      <c r="W174" s="699"/>
      <c r="X174" s="700"/>
      <c r="Y174" s="707" t="s">
        <v>359</v>
      </c>
      <c r="AA174" s="30">
        <v>58</v>
      </c>
      <c r="AB174" s="710" t="s">
        <v>360</v>
      </c>
      <c r="AC174" s="711"/>
      <c r="AD174" s="711"/>
      <c r="AE174" s="711"/>
      <c r="AF174" s="712"/>
    </row>
    <row r="175" spans="1:32" ht="21" customHeight="1" x14ac:dyDescent="0.25">
      <c r="A175" s="31"/>
      <c r="B175" s="80"/>
      <c r="C175" s="40"/>
      <c r="D175" s="683"/>
      <c r="E175" s="684"/>
      <c r="F175" s="684"/>
      <c r="G175" s="684"/>
      <c r="H175" s="684"/>
      <c r="I175" s="684"/>
      <c r="J175" s="685"/>
      <c r="L175" s="31"/>
      <c r="M175" s="692"/>
      <c r="N175" s="693"/>
      <c r="O175" s="693"/>
      <c r="P175" s="693"/>
      <c r="Q175" s="694"/>
      <c r="S175" s="31"/>
      <c r="T175" s="701"/>
      <c r="U175" s="702"/>
      <c r="V175" s="702"/>
      <c r="W175" s="702"/>
      <c r="X175" s="703"/>
      <c r="Y175" s="708"/>
      <c r="Z175" s="29"/>
      <c r="AA175" s="31"/>
      <c r="AB175" s="713"/>
      <c r="AC175" s="714"/>
      <c r="AD175" s="714"/>
      <c r="AE175" s="714"/>
      <c r="AF175" s="715"/>
    </row>
    <row r="176" spans="1:32" ht="21" customHeight="1" x14ac:dyDescent="0.25">
      <c r="A176" s="32"/>
      <c r="B176" s="80"/>
      <c r="C176" s="40"/>
      <c r="D176" s="686"/>
      <c r="E176" s="687"/>
      <c r="F176" s="687"/>
      <c r="G176" s="687"/>
      <c r="H176" s="687"/>
      <c r="I176" s="687"/>
      <c r="J176" s="688"/>
      <c r="L176" s="32"/>
      <c r="M176" s="695"/>
      <c r="N176" s="696"/>
      <c r="O176" s="696"/>
      <c r="P176" s="696"/>
      <c r="Q176" s="697"/>
      <c r="S176" s="32"/>
      <c r="T176" s="704"/>
      <c r="U176" s="705"/>
      <c r="V176" s="705"/>
      <c r="W176" s="705"/>
      <c r="X176" s="706"/>
      <c r="Y176" s="709"/>
      <c r="Z176" s="29"/>
      <c r="AA176" s="32"/>
      <c r="AB176" s="716"/>
      <c r="AC176" s="717"/>
      <c r="AD176" s="717"/>
      <c r="AE176" s="717"/>
      <c r="AF176" s="718"/>
    </row>
    <row r="177" spans="1:32" ht="21" customHeight="1" x14ac:dyDescent="0.25">
      <c r="A177" s="30">
        <v>59</v>
      </c>
      <c r="B177" s="79" t="s">
        <v>39</v>
      </c>
      <c r="C177" s="26" t="s">
        <v>361</v>
      </c>
      <c r="D177" s="680" t="s">
        <v>362</v>
      </c>
      <c r="E177" s="681"/>
      <c r="F177" s="681"/>
      <c r="G177" s="681"/>
      <c r="H177" s="681"/>
      <c r="I177" s="681"/>
      <c r="J177" s="682"/>
      <c r="L177" s="30">
        <v>59</v>
      </c>
      <c r="M177" s="689" t="s">
        <v>363</v>
      </c>
      <c r="N177" s="690"/>
      <c r="O177" s="690"/>
      <c r="P177" s="690"/>
      <c r="Q177" s="691"/>
      <c r="S177" s="30">
        <v>59</v>
      </c>
      <c r="T177" s="698" t="s">
        <v>364</v>
      </c>
      <c r="U177" s="699"/>
      <c r="V177" s="699"/>
      <c r="W177" s="699"/>
      <c r="X177" s="700"/>
      <c r="Y177" s="707" t="s">
        <v>365</v>
      </c>
      <c r="AA177" s="30">
        <v>59</v>
      </c>
      <c r="AB177" s="710" t="s">
        <v>366</v>
      </c>
      <c r="AC177" s="711"/>
      <c r="AD177" s="711"/>
      <c r="AE177" s="711"/>
      <c r="AF177" s="712"/>
    </row>
    <row r="178" spans="1:32" ht="21" customHeight="1" x14ac:dyDescent="0.25">
      <c r="A178" s="31"/>
      <c r="B178" s="80"/>
      <c r="C178" s="40"/>
      <c r="D178" s="683"/>
      <c r="E178" s="684"/>
      <c r="F178" s="684"/>
      <c r="G178" s="684"/>
      <c r="H178" s="684"/>
      <c r="I178" s="684"/>
      <c r="J178" s="685"/>
      <c r="L178" s="31"/>
      <c r="M178" s="692"/>
      <c r="N178" s="693"/>
      <c r="O178" s="693"/>
      <c r="P178" s="693"/>
      <c r="Q178" s="694"/>
      <c r="S178" s="31"/>
      <c r="T178" s="701"/>
      <c r="U178" s="702"/>
      <c r="V178" s="702"/>
      <c r="W178" s="702"/>
      <c r="X178" s="703"/>
      <c r="Y178" s="708"/>
      <c r="Z178" s="29"/>
      <c r="AA178" s="31"/>
      <c r="AB178" s="713"/>
      <c r="AC178" s="714"/>
      <c r="AD178" s="714"/>
      <c r="AE178" s="714"/>
      <c r="AF178" s="715"/>
    </row>
    <row r="179" spans="1:32" ht="21" customHeight="1" x14ac:dyDescent="0.25">
      <c r="A179" s="32"/>
      <c r="B179" s="80"/>
      <c r="C179" s="40"/>
      <c r="D179" s="686"/>
      <c r="E179" s="687"/>
      <c r="F179" s="687"/>
      <c r="G179" s="687"/>
      <c r="H179" s="687"/>
      <c r="I179" s="687"/>
      <c r="J179" s="688"/>
      <c r="L179" s="32"/>
      <c r="M179" s="695"/>
      <c r="N179" s="696"/>
      <c r="O179" s="696"/>
      <c r="P179" s="696"/>
      <c r="Q179" s="697"/>
      <c r="S179" s="32"/>
      <c r="T179" s="704"/>
      <c r="U179" s="705"/>
      <c r="V179" s="705"/>
      <c r="W179" s="705"/>
      <c r="X179" s="706"/>
      <c r="Y179" s="709"/>
      <c r="Z179" s="29"/>
      <c r="AA179" s="32"/>
      <c r="AB179" s="716"/>
      <c r="AC179" s="717"/>
      <c r="AD179" s="717"/>
      <c r="AE179" s="717"/>
      <c r="AF179" s="718"/>
    </row>
    <row r="180" spans="1:32" ht="21" customHeight="1" x14ac:dyDescent="0.25">
      <c r="A180" s="30">
        <v>60</v>
      </c>
      <c r="B180" s="79" t="s">
        <v>39</v>
      </c>
      <c r="C180" s="26" t="s">
        <v>367</v>
      </c>
      <c r="D180" s="680" t="s">
        <v>368</v>
      </c>
      <c r="E180" s="681"/>
      <c r="F180" s="681"/>
      <c r="G180" s="681"/>
      <c r="H180" s="681"/>
      <c r="I180" s="681"/>
      <c r="J180" s="682"/>
      <c r="L180" s="30">
        <v>60</v>
      </c>
      <c r="M180" s="689" t="s">
        <v>369</v>
      </c>
      <c r="N180" s="690"/>
      <c r="O180" s="690"/>
      <c r="P180" s="690"/>
      <c r="Q180" s="691"/>
      <c r="S180" s="30">
        <v>60</v>
      </c>
      <c r="T180" s="698" t="s">
        <v>370</v>
      </c>
      <c r="U180" s="699"/>
      <c r="V180" s="699"/>
      <c r="W180" s="699"/>
      <c r="X180" s="700"/>
      <c r="Y180" s="707" t="s">
        <v>371</v>
      </c>
      <c r="AA180" s="30">
        <v>60</v>
      </c>
      <c r="AB180" s="710" t="s">
        <v>372</v>
      </c>
      <c r="AC180" s="711"/>
      <c r="AD180" s="711"/>
      <c r="AE180" s="711"/>
      <c r="AF180" s="712"/>
    </row>
    <row r="181" spans="1:32" ht="21" customHeight="1" x14ac:dyDescent="0.25">
      <c r="A181" s="31"/>
      <c r="B181" s="80"/>
      <c r="C181" s="40"/>
      <c r="D181" s="683"/>
      <c r="E181" s="684"/>
      <c r="F181" s="684"/>
      <c r="G181" s="684"/>
      <c r="H181" s="684"/>
      <c r="I181" s="684"/>
      <c r="J181" s="685"/>
      <c r="L181" s="31"/>
      <c r="M181" s="692"/>
      <c r="N181" s="693"/>
      <c r="O181" s="693"/>
      <c r="P181" s="693"/>
      <c r="Q181" s="694"/>
      <c r="S181" s="31"/>
      <c r="T181" s="701"/>
      <c r="U181" s="702"/>
      <c r="V181" s="702"/>
      <c r="W181" s="702"/>
      <c r="X181" s="703"/>
      <c r="Y181" s="708"/>
      <c r="Z181" s="29"/>
      <c r="AA181" s="31"/>
      <c r="AB181" s="713"/>
      <c r="AC181" s="714"/>
      <c r="AD181" s="714"/>
      <c r="AE181" s="714"/>
      <c r="AF181" s="715"/>
    </row>
    <row r="182" spans="1:32" ht="21" customHeight="1" x14ac:dyDescent="0.25">
      <c r="A182" s="32"/>
      <c r="B182" s="80"/>
      <c r="C182" s="40"/>
      <c r="D182" s="686"/>
      <c r="E182" s="687"/>
      <c r="F182" s="687"/>
      <c r="G182" s="687"/>
      <c r="H182" s="687"/>
      <c r="I182" s="687"/>
      <c r="J182" s="688"/>
      <c r="L182" s="32"/>
      <c r="M182" s="695"/>
      <c r="N182" s="696"/>
      <c r="O182" s="696"/>
      <c r="P182" s="696"/>
      <c r="Q182" s="697"/>
      <c r="S182" s="32"/>
      <c r="T182" s="704"/>
      <c r="U182" s="705"/>
      <c r="V182" s="705"/>
      <c r="W182" s="705"/>
      <c r="X182" s="706"/>
      <c r="Y182" s="709"/>
      <c r="Z182" s="29"/>
      <c r="AA182" s="32"/>
      <c r="AB182" s="716"/>
      <c r="AC182" s="717"/>
      <c r="AD182" s="717"/>
      <c r="AE182" s="717"/>
      <c r="AF182" s="718"/>
    </row>
    <row r="183" spans="1:32" ht="21" customHeight="1" x14ac:dyDescent="0.25">
      <c r="A183" s="30">
        <v>61</v>
      </c>
      <c r="B183" s="79" t="s">
        <v>39</v>
      </c>
      <c r="C183" s="26" t="s">
        <v>373</v>
      </c>
      <c r="D183" s="680" t="s">
        <v>374</v>
      </c>
      <c r="E183" s="681"/>
      <c r="F183" s="681"/>
      <c r="G183" s="681"/>
      <c r="H183" s="681"/>
      <c r="I183" s="681"/>
      <c r="J183" s="682"/>
      <c r="L183" s="30">
        <v>61</v>
      </c>
      <c r="M183" s="689" t="s">
        <v>375</v>
      </c>
      <c r="N183" s="690"/>
      <c r="O183" s="690"/>
      <c r="P183" s="690"/>
      <c r="Q183" s="691"/>
      <c r="S183" s="30">
        <v>61</v>
      </c>
      <c r="T183" s="698" t="s">
        <v>376</v>
      </c>
      <c r="U183" s="699"/>
      <c r="V183" s="699"/>
      <c r="W183" s="699"/>
      <c r="X183" s="700"/>
      <c r="Y183" s="707" t="s">
        <v>377</v>
      </c>
      <c r="AA183" s="30">
        <v>61</v>
      </c>
      <c r="AB183" s="710" t="s">
        <v>378</v>
      </c>
      <c r="AC183" s="711"/>
      <c r="AD183" s="711"/>
      <c r="AE183" s="711"/>
      <c r="AF183" s="712"/>
    </row>
    <row r="184" spans="1:32" ht="21" customHeight="1" x14ac:dyDescent="0.25">
      <c r="A184" s="31"/>
      <c r="B184" s="80"/>
      <c r="C184" s="40"/>
      <c r="D184" s="683"/>
      <c r="E184" s="684"/>
      <c r="F184" s="684"/>
      <c r="G184" s="684"/>
      <c r="H184" s="684"/>
      <c r="I184" s="684"/>
      <c r="J184" s="685"/>
      <c r="L184" s="31"/>
      <c r="M184" s="692"/>
      <c r="N184" s="693"/>
      <c r="O184" s="693"/>
      <c r="P184" s="693"/>
      <c r="Q184" s="694"/>
      <c r="S184" s="31"/>
      <c r="T184" s="701"/>
      <c r="U184" s="702"/>
      <c r="V184" s="702"/>
      <c r="W184" s="702"/>
      <c r="X184" s="703"/>
      <c r="Y184" s="708"/>
      <c r="Z184" s="29"/>
      <c r="AA184" s="31"/>
      <c r="AB184" s="713"/>
      <c r="AC184" s="714"/>
      <c r="AD184" s="714"/>
      <c r="AE184" s="714"/>
      <c r="AF184" s="715"/>
    </row>
    <row r="185" spans="1:32" ht="21" customHeight="1" x14ac:dyDescent="0.25">
      <c r="A185" s="32"/>
      <c r="B185" s="80"/>
      <c r="C185" s="40"/>
      <c r="D185" s="686"/>
      <c r="E185" s="687"/>
      <c r="F185" s="687"/>
      <c r="G185" s="687"/>
      <c r="H185" s="687"/>
      <c r="I185" s="687"/>
      <c r="J185" s="688"/>
      <c r="L185" s="32"/>
      <c r="M185" s="695"/>
      <c r="N185" s="696"/>
      <c r="O185" s="696"/>
      <c r="P185" s="696"/>
      <c r="Q185" s="697"/>
      <c r="S185" s="32"/>
      <c r="T185" s="704"/>
      <c r="U185" s="705"/>
      <c r="V185" s="705"/>
      <c r="W185" s="705"/>
      <c r="X185" s="706"/>
      <c r="Y185" s="709"/>
      <c r="Z185" s="29"/>
      <c r="AA185" s="32"/>
      <c r="AB185" s="716"/>
      <c r="AC185" s="717"/>
      <c r="AD185" s="717"/>
      <c r="AE185" s="717"/>
      <c r="AF185" s="718"/>
    </row>
    <row r="186" spans="1:32" ht="21" customHeight="1" x14ac:dyDescent="0.25">
      <c r="A186" s="30">
        <v>62</v>
      </c>
      <c r="B186" s="79" t="s">
        <v>39</v>
      </c>
      <c r="C186" s="26" t="s">
        <v>379</v>
      </c>
      <c r="D186" s="680" t="s">
        <v>380</v>
      </c>
      <c r="E186" s="681"/>
      <c r="F186" s="681"/>
      <c r="G186" s="681"/>
      <c r="H186" s="681"/>
      <c r="I186" s="681"/>
      <c r="J186" s="682"/>
      <c r="L186" s="30">
        <v>62</v>
      </c>
      <c r="M186" s="689" t="s">
        <v>381</v>
      </c>
      <c r="N186" s="690"/>
      <c r="O186" s="690"/>
      <c r="P186" s="690"/>
      <c r="Q186" s="691"/>
      <c r="S186" s="30">
        <v>62</v>
      </c>
      <c r="T186" s="698" t="s">
        <v>382</v>
      </c>
      <c r="U186" s="699"/>
      <c r="V186" s="699"/>
      <c r="W186" s="699"/>
      <c r="X186" s="700"/>
      <c r="Y186" s="707" t="s">
        <v>383</v>
      </c>
      <c r="AA186" s="30">
        <v>62</v>
      </c>
      <c r="AB186" s="710" t="s">
        <v>384</v>
      </c>
      <c r="AC186" s="711"/>
      <c r="AD186" s="711"/>
      <c r="AE186" s="711"/>
      <c r="AF186" s="712"/>
    </row>
    <row r="187" spans="1:32" ht="21" customHeight="1" x14ac:dyDescent="0.25">
      <c r="A187" s="31"/>
      <c r="B187" s="80"/>
      <c r="C187" s="40"/>
      <c r="D187" s="683"/>
      <c r="E187" s="684"/>
      <c r="F187" s="684"/>
      <c r="G187" s="684"/>
      <c r="H187" s="684"/>
      <c r="I187" s="684"/>
      <c r="J187" s="685"/>
      <c r="L187" s="31"/>
      <c r="M187" s="692"/>
      <c r="N187" s="693"/>
      <c r="O187" s="693"/>
      <c r="P187" s="693"/>
      <c r="Q187" s="694"/>
      <c r="S187" s="31"/>
      <c r="T187" s="701"/>
      <c r="U187" s="702"/>
      <c r="V187" s="702"/>
      <c r="W187" s="702"/>
      <c r="X187" s="703"/>
      <c r="Y187" s="708"/>
      <c r="Z187" s="29"/>
      <c r="AA187" s="31"/>
      <c r="AB187" s="713"/>
      <c r="AC187" s="714"/>
      <c r="AD187" s="714"/>
      <c r="AE187" s="714"/>
      <c r="AF187" s="715"/>
    </row>
    <row r="188" spans="1:32" ht="21" customHeight="1" x14ac:dyDescent="0.25">
      <c r="A188" s="32"/>
      <c r="B188" s="80"/>
      <c r="C188" s="40"/>
      <c r="D188" s="686"/>
      <c r="E188" s="687"/>
      <c r="F188" s="687"/>
      <c r="G188" s="687"/>
      <c r="H188" s="687"/>
      <c r="I188" s="687"/>
      <c r="J188" s="688"/>
      <c r="L188" s="32"/>
      <c r="M188" s="695"/>
      <c r="N188" s="696"/>
      <c r="O188" s="696"/>
      <c r="P188" s="696"/>
      <c r="Q188" s="697"/>
      <c r="S188" s="32"/>
      <c r="T188" s="704"/>
      <c r="U188" s="705"/>
      <c r="V188" s="705"/>
      <c r="W188" s="705"/>
      <c r="X188" s="706"/>
      <c r="Y188" s="709"/>
      <c r="Z188" s="29"/>
      <c r="AA188" s="32"/>
      <c r="AB188" s="716"/>
      <c r="AC188" s="717"/>
      <c r="AD188" s="717"/>
      <c r="AE188" s="717"/>
      <c r="AF188" s="718"/>
    </row>
    <row r="189" spans="1:32" ht="21" customHeight="1" x14ac:dyDescent="0.25">
      <c r="A189" s="30">
        <v>63</v>
      </c>
      <c r="B189" s="79" t="s">
        <v>39</v>
      </c>
      <c r="C189" s="26" t="s">
        <v>385</v>
      </c>
      <c r="D189" s="680" t="s">
        <v>386</v>
      </c>
      <c r="E189" s="681"/>
      <c r="F189" s="681"/>
      <c r="G189" s="681"/>
      <c r="H189" s="681"/>
      <c r="I189" s="681"/>
      <c r="J189" s="682"/>
      <c r="L189" s="30">
        <v>63</v>
      </c>
      <c r="M189" s="689" t="s">
        <v>387</v>
      </c>
      <c r="N189" s="690"/>
      <c r="O189" s="690"/>
      <c r="P189" s="690"/>
      <c r="Q189" s="691"/>
      <c r="S189" s="30">
        <v>63</v>
      </c>
      <c r="T189" s="698" t="s">
        <v>388</v>
      </c>
      <c r="U189" s="699"/>
      <c r="V189" s="699"/>
      <c r="W189" s="699"/>
      <c r="X189" s="700"/>
      <c r="Y189" s="707" t="s">
        <v>389</v>
      </c>
      <c r="AA189" s="30">
        <v>63</v>
      </c>
      <c r="AB189" s="710" t="s">
        <v>390</v>
      </c>
      <c r="AC189" s="711"/>
      <c r="AD189" s="711"/>
      <c r="AE189" s="711"/>
      <c r="AF189" s="712"/>
    </row>
    <row r="190" spans="1:32" ht="21" customHeight="1" x14ac:dyDescent="0.25">
      <c r="A190" s="31"/>
      <c r="B190" s="80"/>
      <c r="C190" s="40"/>
      <c r="D190" s="683"/>
      <c r="E190" s="684"/>
      <c r="F190" s="684"/>
      <c r="G190" s="684"/>
      <c r="H190" s="684"/>
      <c r="I190" s="684"/>
      <c r="J190" s="685"/>
      <c r="L190" s="31"/>
      <c r="M190" s="692"/>
      <c r="N190" s="693"/>
      <c r="O190" s="693"/>
      <c r="P190" s="693"/>
      <c r="Q190" s="694"/>
      <c r="S190" s="31"/>
      <c r="T190" s="701"/>
      <c r="U190" s="702"/>
      <c r="V190" s="702"/>
      <c r="W190" s="702"/>
      <c r="X190" s="703"/>
      <c r="Y190" s="708"/>
      <c r="Z190" s="29"/>
      <c r="AA190" s="31"/>
      <c r="AB190" s="713"/>
      <c r="AC190" s="714"/>
      <c r="AD190" s="714"/>
      <c r="AE190" s="714"/>
      <c r="AF190" s="715"/>
    </row>
    <row r="191" spans="1:32" ht="21" customHeight="1" x14ac:dyDescent="0.25">
      <c r="A191" s="32"/>
      <c r="B191" s="80"/>
      <c r="C191" s="40"/>
      <c r="D191" s="686"/>
      <c r="E191" s="687"/>
      <c r="F191" s="687"/>
      <c r="G191" s="687"/>
      <c r="H191" s="687"/>
      <c r="I191" s="687"/>
      <c r="J191" s="688"/>
      <c r="L191" s="32"/>
      <c r="M191" s="695"/>
      <c r="N191" s="696"/>
      <c r="O191" s="696"/>
      <c r="P191" s="696"/>
      <c r="Q191" s="697"/>
      <c r="S191" s="32"/>
      <c r="T191" s="704"/>
      <c r="U191" s="705"/>
      <c r="V191" s="705"/>
      <c r="W191" s="705"/>
      <c r="X191" s="706"/>
      <c r="Y191" s="709"/>
      <c r="Z191" s="29"/>
      <c r="AA191" s="32"/>
      <c r="AB191" s="716"/>
      <c r="AC191" s="717"/>
      <c r="AD191" s="717"/>
      <c r="AE191" s="717"/>
      <c r="AF191" s="718"/>
    </row>
    <row r="192" spans="1:32" ht="21" customHeight="1" x14ac:dyDescent="0.25">
      <c r="A192" s="30">
        <v>64</v>
      </c>
      <c r="B192" s="79" t="s">
        <v>39</v>
      </c>
      <c r="C192" s="26" t="s">
        <v>391</v>
      </c>
      <c r="D192" s="680" t="s">
        <v>392</v>
      </c>
      <c r="E192" s="681"/>
      <c r="F192" s="681"/>
      <c r="G192" s="681"/>
      <c r="H192" s="681"/>
      <c r="I192" s="681"/>
      <c r="J192" s="682"/>
      <c r="L192" s="30">
        <v>64</v>
      </c>
      <c r="M192" s="689" t="s">
        <v>393</v>
      </c>
      <c r="N192" s="690"/>
      <c r="O192" s="690"/>
      <c r="P192" s="690"/>
      <c r="Q192" s="691"/>
      <c r="S192" s="30">
        <v>64</v>
      </c>
      <c r="T192" s="698" t="s">
        <v>394</v>
      </c>
      <c r="U192" s="699"/>
      <c r="V192" s="699"/>
      <c r="W192" s="699"/>
      <c r="X192" s="700"/>
      <c r="Y192" s="707" t="s">
        <v>395</v>
      </c>
      <c r="AA192" s="30">
        <v>64</v>
      </c>
      <c r="AB192" s="710" t="s">
        <v>396</v>
      </c>
      <c r="AC192" s="711"/>
      <c r="AD192" s="711"/>
      <c r="AE192" s="711"/>
      <c r="AF192" s="712"/>
    </row>
    <row r="193" spans="1:32" ht="21" customHeight="1" x14ac:dyDescent="0.25">
      <c r="A193" s="31"/>
      <c r="B193" s="80"/>
      <c r="C193" s="40"/>
      <c r="D193" s="683"/>
      <c r="E193" s="684"/>
      <c r="F193" s="684"/>
      <c r="G193" s="684"/>
      <c r="H193" s="684"/>
      <c r="I193" s="684"/>
      <c r="J193" s="685"/>
      <c r="L193" s="31"/>
      <c r="M193" s="692"/>
      <c r="N193" s="693"/>
      <c r="O193" s="693"/>
      <c r="P193" s="693"/>
      <c r="Q193" s="694"/>
      <c r="S193" s="31"/>
      <c r="T193" s="701"/>
      <c r="U193" s="702"/>
      <c r="V193" s="702"/>
      <c r="W193" s="702"/>
      <c r="X193" s="703"/>
      <c r="Y193" s="708"/>
      <c r="Z193" s="29"/>
      <c r="AA193" s="31"/>
      <c r="AB193" s="713"/>
      <c r="AC193" s="714"/>
      <c r="AD193" s="714"/>
      <c r="AE193" s="714"/>
      <c r="AF193" s="715"/>
    </row>
    <row r="194" spans="1:32" ht="21" customHeight="1" x14ac:dyDescent="0.25">
      <c r="A194" s="32"/>
      <c r="B194" s="80"/>
      <c r="C194" s="40"/>
      <c r="D194" s="686"/>
      <c r="E194" s="687"/>
      <c r="F194" s="687"/>
      <c r="G194" s="687"/>
      <c r="H194" s="687"/>
      <c r="I194" s="687"/>
      <c r="J194" s="688"/>
      <c r="L194" s="32"/>
      <c r="M194" s="695"/>
      <c r="N194" s="696"/>
      <c r="O194" s="696"/>
      <c r="P194" s="696"/>
      <c r="Q194" s="697"/>
      <c r="S194" s="32"/>
      <c r="T194" s="704"/>
      <c r="U194" s="705"/>
      <c r="V194" s="705"/>
      <c r="W194" s="705"/>
      <c r="X194" s="706"/>
      <c r="Y194" s="709"/>
      <c r="Z194" s="29"/>
      <c r="AA194" s="32"/>
      <c r="AB194" s="716"/>
      <c r="AC194" s="717"/>
      <c r="AD194" s="717"/>
      <c r="AE194" s="717"/>
      <c r="AF194" s="718"/>
    </row>
    <row r="195" spans="1:32" ht="21" customHeight="1" x14ac:dyDescent="0.25">
      <c r="A195" s="30">
        <v>65</v>
      </c>
      <c r="B195" s="79" t="s">
        <v>39</v>
      </c>
      <c r="C195" s="26" t="s">
        <v>397</v>
      </c>
      <c r="D195" s="680" t="s">
        <v>398</v>
      </c>
      <c r="E195" s="681"/>
      <c r="F195" s="681"/>
      <c r="G195" s="681"/>
      <c r="H195" s="681"/>
      <c r="I195" s="681"/>
      <c r="J195" s="682"/>
      <c r="L195" s="30">
        <v>65</v>
      </c>
      <c r="M195" s="689" t="s">
        <v>399</v>
      </c>
      <c r="N195" s="690"/>
      <c r="O195" s="690"/>
      <c r="P195" s="690"/>
      <c r="Q195" s="691"/>
      <c r="S195" s="30">
        <v>65</v>
      </c>
      <c r="T195" s="698" t="s">
        <v>400</v>
      </c>
      <c r="U195" s="699"/>
      <c r="V195" s="699"/>
      <c r="W195" s="699"/>
      <c r="X195" s="700"/>
      <c r="Y195" s="707" t="s">
        <v>401</v>
      </c>
      <c r="AA195" s="30">
        <v>65</v>
      </c>
      <c r="AB195" s="710" t="s">
        <v>402</v>
      </c>
      <c r="AC195" s="711"/>
      <c r="AD195" s="711"/>
      <c r="AE195" s="711"/>
      <c r="AF195" s="712"/>
    </row>
    <row r="196" spans="1:32" ht="21" customHeight="1" x14ac:dyDescent="0.25">
      <c r="A196" s="31"/>
      <c r="B196" s="80"/>
      <c r="C196" s="40"/>
      <c r="D196" s="683"/>
      <c r="E196" s="684"/>
      <c r="F196" s="684"/>
      <c r="G196" s="684"/>
      <c r="H196" s="684"/>
      <c r="I196" s="684"/>
      <c r="J196" s="685"/>
      <c r="L196" s="31"/>
      <c r="M196" s="692"/>
      <c r="N196" s="693"/>
      <c r="O196" s="693"/>
      <c r="P196" s="693"/>
      <c r="Q196" s="694"/>
      <c r="S196" s="31"/>
      <c r="T196" s="701"/>
      <c r="U196" s="702"/>
      <c r="V196" s="702"/>
      <c r="W196" s="702"/>
      <c r="X196" s="703"/>
      <c r="Y196" s="708"/>
      <c r="Z196" s="29"/>
      <c r="AA196" s="31"/>
      <c r="AB196" s="713"/>
      <c r="AC196" s="714"/>
      <c r="AD196" s="714"/>
      <c r="AE196" s="714"/>
      <c r="AF196" s="715"/>
    </row>
    <row r="197" spans="1:32" ht="21" customHeight="1" x14ac:dyDescent="0.25">
      <c r="A197" s="32"/>
      <c r="B197" s="80"/>
      <c r="C197" s="40"/>
      <c r="D197" s="686"/>
      <c r="E197" s="687"/>
      <c r="F197" s="687"/>
      <c r="G197" s="687"/>
      <c r="H197" s="687"/>
      <c r="I197" s="687"/>
      <c r="J197" s="688"/>
      <c r="L197" s="32"/>
      <c r="M197" s="695"/>
      <c r="N197" s="696"/>
      <c r="O197" s="696"/>
      <c r="P197" s="696"/>
      <c r="Q197" s="697"/>
      <c r="S197" s="32"/>
      <c r="T197" s="704"/>
      <c r="U197" s="705"/>
      <c r="V197" s="705"/>
      <c r="W197" s="705"/>
      <c r="X197" s="706"/>
      <c r="Y197" s="709"/>
      <c r="Z197" s="29"/>
      <c r="AA197" s="32"/>
      <c r="AB197" s="716"/>
      <c r="AC197" s="717"/>
      <c r="AD197" s="717"/>
      <c r="AE197" s="717"/>
      <c r="AF197" s="718"/>
    </row>
    <row r="198" spans="1:32" ht="21" customHeight="1" x14ac:dyDescent="0.25">
      <c r="A198" s="30">
        <v>66</v>
      </c>
      <c r="B198" s="79" t="s">
        <v>39</v>
      </c>
      <c r="C198" s="26" t="s">
        <v>403</v>
      </c>
      <c r="D198" s="680" t="s">
        <v>404</v>
      </c>
      <c r="E198" s="681"/>
      <c r="F198" s="681"/>
      <c r="G198" s="681"/>
      <c r="H198" s="681"/>
      <c r="I198" s="681"/>
      <c r="J198" s="682"/>
      <c r="L198" s="30">
        <v>66</v>
      </c>
      <c r="M198" s="689" t="s">
        <v>405</v>
      </c>
      <c r="N198" s="690"/>
      <c r="O198" s="690"/>
      <c r="P198" s="690"/>
      <c r="Q198" s="691"/>
      <c r="S198" s="30">
        <v>66</v>
      </c>
      <c r="T198" s="698" t="s">
        <v>406</v>
      </c>
      <c r="U198" s="699"/>
      <c r="V198" s="699"/>
      <c r="W198" s="699"/>
      <c r="X198" s="700"/>
      <c r="Y198" s="707" t="s">
        <v>407</v>
      </c>
      <c r="AA198" s="30">
        <v>66</v>
      </c>
      <c r="AB198" s="710" t="s">
        <v>408</v>
      </c>
      <c r="AC198" s="711"/>
      <c r="AD198" s="711"/>
      <c r="AE198" s="711"/>
      <c r="AF198" s="712"/>
    </row>
    <row r="199" spans="1:32" ht="21" customHeight="1" x14ac:dyDescent="0.25">
      <c r="A199" s="31"/>
      <c r="B199" s="80"/>
      <c r="C199" s="40"/>
      <c r="D199" s="683"/>
      <c r="E199" s="684"/>
      <c r="F199" s="684"/>
      <c r="G199" s="684"/>
      <c r="H199" s="684"/>
      <c r="I199" s="684"/>
      <c r="J199" s="685"/>
      <c r="L199" s="31"/>
      <c r="M199" s="692"/>
      <c r="N199" s="693"/>
      <c r="O199" s="693"/>
      <c r="P199" s="693"/>
      <c r="Q199" s="694"/>
      <c r="S199" s="31"/>
      <c r="T199" s="701"/>
      <c r="U199" s="702"/>
      <c r="V199" s="702"/>
      <c r="W199" s="702"/>
      <c r="X199" s="703"/>
      <c r="Y199" s="708"/>
      <c r="Z199" s="29"/>
      <c r="AA199" s="31"/>
      <c r="AB199" s="713"/>
      <c r="AC199" s="714"/>
      <c r="AD199" s="714"/>
      <c r="AE199" s="714"/>
      <c r="AF199" s="715"/>
    </row>
    <row r="200" spans="1:32" ht="21" customHeight="1" x14ac:dyDescent="0.25">
      <c r="A200" s="32"/>
      <c r="B200" s="80"/>
      <c r="C200" s="40"/>
      <c r="D200" s="686"/>
      <c r="E200" s="687"/>
      <c r="F200" s="687"/>
      <c r="G200" s="687"/>
      <c r="H200" s="687"/>
      <c r="I200" s="687"/>
      <c r="J200" s="688"/>
      <c r="L200" s="32"/>
      <c r="M200" s="695"/>
      <c r="N200" s="696"/>
      <c r="O200" s="696"/>
      <c r="P200" s="696"/>
      <c r="Q200" s="697"/>
      <c r="S200" s="32"/>
      <c r="T200" s="704"/>
      <c r="U200" s="705"/>
      <c r="V200" s="705"/>
      <c r="W200" s="705"/>
      <c r="X200" s="706"/>
      <c r="Y200" s="709"/>
      <c r="Z200" s="29"/>
      <c r="AA200" s="32"/>
      <c r="AB200" s="716"/>
      <c r="AC200" s="717"/>
      <c r="AD200" s="717"/>
      <c r="AE200" s="717"/>
      <c r="AF200" s="718"/>
    </row>
    <row r="201" spans="1:32" ht="21" customHeight="1" x14ac:dyDescent="0.25">
      <c r="A201" s="30">
        <v>67</v>
      </c>
      <c r="B201" s="79" t="s">
        <v>39</v>
      </c>
      <c r="C201" s="26" t="s">
        <v>409</v>
      </c>
      <c r="D201" s="680" t="s">
        <v>410</v>
      </c>
      <c r="E201" s="681"/>
      <c r="F201" s="681"/>
      <c r="G201" s="681"/>
      <c r="H201" s="681"/>
      <c r="I201" s="681"/>
      <c r="J201" s="682"/>
      <c r="L201" s="30">
        <v>67</v>
      </c>
      <c r="M201" s="689" t="s">
        <v>411</v>
      </c>
      <c r="N201" s="690"/>
      <c r="O201" s="690"/>
      <c r="P201" s="690"/>
      <c r="Q201" s="691"/>
      <c r="S201" s="30">
        <v>67</v>
      </c>
      <c r="T201" s="698" t="s">
        <v>412</v>
      </c>
      <c r="U201" s="699"/>
      <c r="V201" s="699"/>
      <c r="W201" s="699"/>
      <c r="X201" s="700"/>
      <c r="Y201" s="707" t="s">
        <v>413</v>
      </c>
      <c r="AA201" s="30">
        <v>67</v>
      </c>
      <c r="AB201" s="710" t="s">
        <v>414</v>
      </c>
      <c r="AC201" s="711"/>
      <c r="AD201" s="711"/>
      <c r="AE201" s="711"/>
      <c r="AF201" s="712"/>
    </row>
    <row r="202" spans="1:32" ht="21" customHeight="1" x14ac:dyDescent="0.25">
      <c r="A202" s="31"/>
      <c r="B202" s="80"/>
      <c r="C202" s="40"/>
      <c r="D202" s="683"/>
      <c r="E202" s="684"/>
      <c r="F202" s="684"/>
      <c r="G202" s="684"/>
      <c r="H202" s="684"/>
      <c r="I202" s="684"/>
      <c r="J202" s="685"/>
      <c r="L202" s="31"/>
      <c r="M202" s="692"/>
      <c r="N202" s="693"/>
      <c r="O202" s="693"/>
      <c r="P202" s="693"/>
      <c r="Q202" s="694"/>
      <c r="S202" s="31"/>
      <c r="T202" s="701"/>
      <c r="U202" s="702"/>
      <c r="V202" s="702"/>
      <c r="W202" s="702"/>
      <c r="X202" s="703"/>
      <c r="Y202" s="708"/>
      <c r="Z202" s="29"/>
      <c r="AA202" s="31"/>
      <c r="AB202" s="713"/>
      <c r="AC202" s="714"/>
      <c r="AD202" s="714"/>
      <c r="AE202" s="714"/>
      <c r="AF202" s="715"/>
    </row>
    <row r="203" spans="1:32" ht="21" customHeight="1" x14ac:dyDescent="0.25">
      <c r="A203" s="32"/>
      <c r="B203" s="80"/>
      <c r="C203" s="40"/>
      <c r="D203" s="686"/>
      <c r="E203" s="687"/>
      <c r="F203" s="687"/>
      <c r="G203" s="687"/>
      <c r="H203" s="687"/>
      <c r="I203" s="687"/>
      <c r="J203" s="688"/>
      <c r="L203" s="32"/>
      <c r="M203" s="695"/>
      <c r="N203" s="696"/>
      <c r="O203" s="696"/>
      <c r="P203" s="696"/>
      <c r="Q203" s="697"/>
      <c r="S203" s="32"/>
      <c r="T203" s="704"/>
      <c r="U203" s="705"/>
      <c r="V203" s="705"/>
      <c r="W203" s="705"/>
      <c r="X203" s="706"/>
      <c r="Y203" s="709"/>
      <c r="Z203" s="29"/>
      <c r="AA203" s="32"/>
      <c r="AB203" s="716"/>
      <c r="AC203" s="717"/>
      <c r="AD203" s="717"/>
      <c r="AE203" s="717"/>
      <c r="AF203" s="718"/>
    </row>
    <row r="204" spans="1:32" ht="21" customHeight="1" x14ac:dyDescent="0.25">
      <c r="A204" s="30">
        <v>68</v>
      </c>
      <c r="B204" s="79" t="s">
        <v>39</v>
      </c>
      <c r="C204" s="26" t="s">
        <v>415</v>
      </c>
      <c r="D204" s="680" t="s">
        <v>416</v>
      </c>
      <c r="E204" s="681"/>
      <c r="F204" s="681"/>
      <c r="G204" s="681"/>
      <c r="H204" s="681"/>
      <c r="I204" s="681"/>
      <c r="J204" s="682"/>
      <c r="L204" s="30">
        <v>68</v>
      </c>
      <c r="M204" s="689" t="s">
        <v>417</v>
      </c>
      <c r="N204" s="690"/>
      <c r="O204" s="690"/>
      <c r="P204" s="690"/>
      <c r="Q204" s="691"/>
      <c r="S204" s="30">
        <v>68</v>
      </c>
      <c r="T204" s="698" t="s">
        <v>418</v>
      </c>
      <c r="U204" s="699"/>
      <c r="V204" s="699"/>
      <c r="W204" s="699"/>
      <c r="X204" s="700"/>
      <c r="Y204" s="707" t="s">
        <v>419</v>
      </c>
      <c r="AA204" s="30">
        <v>68</v>
      </c>
      <c r="AB204" s="710" t="s">
        <v>420</v>
      </c>
      <c r="AC204" s="711"/>
      <c r="AD204" s="711"/>
      <c r="AE204" s="711"/>
      <c r="AF204" s="712"/>
    </row>
    <row r="205" spans="1:32" ht="21" customHeight="1" x14ac:dyDescent="0.25">
      <c r="A205" s="31"/>
      <c r="B205" s="80"/>
      <c r="C205" s="40"/>
      <c r="D205" s="683"/>
      <c r="E205" s="684"/>
      <c r="F205" s="684"/>
      <c r="G205" s="684"/>
      <c r="H205" s="684"/>
      <c r="I205" s="684"/>
      <c r="J205" s="685"/>
      <c r="L205" s="31"/>
      <c r="M205" s="692"/>
      <c r="N205" s="693"/>
      <c r="O205" s="693"/>
      <c r="P205" s="693"/>
      <c r="Q205" s="694"/>
      <c r="S205" s="31"/>
      <c r="T205" s="701"/>
      <c r="U205" s="702"/>
      <c r="V205" s="702"/>
      <c r="W205" s="702"/>
      <c r="X205" s="703"/>
      <c r="Y205" s="708"/>
      <c r="Z205" s="29"/>
      <c r="AA205" s="31"/>
      <c r="AB205" s="713"/>
      <c r="AC205" s="714"/>
      <c r="AD205" s="714"/>
      <c r="AE205" s="714"/>
      <c r="AF205" s="715"/>
    </row>
    <row r="206" spans="1:32" ht="21" customHeight="1" x14ac:dyDescent="0.25">
      <c r="A206" s="32"/>
      <c r="B206" s="80"/>
      <c r="C206" s="40"/>
      <c r="D206" s="686"/>
      <c r="E206" s="687"/>
      <c r="F206" s="687"/>
      <c r="G206" s="687"/>
      <c r="H206" s="687"/>
      <c r="I206" s="687"/>
      <c r="J206" s="688"/>
      <c r="L206" s="32"/>
      <c r="M206" s="695"/>
      <c r="N206" s="696"/>
      <c r="O206" s="696"/>
      <c r="P206" s="696"/>
      <c r="Q206" s="697"/>
      <c r="S206" s="32"/>
      <c r="T206" s="704"/>
      <c r="U206" s="705"/>
      <c r="V206" s="705"/>
      <c r="W206" s="705"/>
      <c r="X206" s="706"/>
      <c r="Y206" s="709"/>
      <c r="Z206" s="29"/>
      <c r="AA206" s="32"/>
      <c r="AB206" s="716"/>
      <c r="AC206" s="717"/>
      <c r="AD206" s="717"/>
      <c r="AE206" s="717"/>
      <c r="AF206" s="718"/>
    </row>
    <row r="207" spans="1:32" ht="21" customHeight="1" x14ac:dyDescent="0.25">
      <c r="A207" s="30">
        <v>69</v>
      </c>
      <c r="B207" s="79" t="s">
        <v>39</v>
      </c>
      <c r="C207" s="26" t="s">
        <v>421</v>
      </c>
      <c r="D207" s="680" t="s">
        <v>422</v>
      </c>
      <c r="E207" s="681"/>
      <c r="F207" s="681"/>
      <c r="G207" s="681"/>
      <c r="H207" s="681"/>
      <c r="I207" s="681"/>
      <c r="J207" s="682"/>
      <c r="L207" s="30">
        <v>69</v>
      </c>
      <c r="M207" s="689" t="s">
        <v>423</v>
      </c>
      <c r="N207" s="690"/>
      <c r="O207" s="690"/>
      <c r="P207" s="690"/>
      <c r="Q207" s="691"/>
      <c r="S207" s="30">
        <v>69</v>
      </c>
      <c r="T207" s="698" t="s">
        <v>424</v>
      </c>
      <c r="U207" s="699"/>
      <c r="V207" s="699"/>
      <c r="W207" s="699"/>
      <c r="X207" s="700"/>
      <c r="Y207" s="707" t="s">
        <v>425</v>
      </c>
      <c r="AA207" s="30">
        <v>69</v>
      </c>
      <c r="AB207" s="710" t="s">
        <v>426</v>
      </c>
      <c r="AC207" s="711"/>
      <c r="AD207" s="711"/>
      <c r="AE207" s="711"/>
      <c r="AF207" s="712"/>
    </row>
    <row r="208" spans="1:32" ht="21" customHeight="1" x14ac:dyDescent="0.25">
      <c r="A208" s="31"/>
      <c r="B208" s="80"/>
      <c r="C208" s="40"/>
      <c r="D208" s="683"/>
      <c r="E208" s="684"/>
      <c r="F208" s="684"/>
      <c r="G208" s="684"/>
      <c r="H208" s="684"/>
      <c r="I208" s="684"/>
      <c r="J208" s="685"/>
      <c r="L208" s="31"/>
      <c r="M208" s="692"/>
      <c r="N208" s="693"/>
      <c r="O208" s="693"/>
      <c r="P208" s="693"/>
      <c r="Q208" s="694"/>
      <c r="S208" s="31"/>
      <c r="T208" s="701"/>
      <c r="U208" s="702"/>
      <c r="V208" s="702"/>
      <c r="W208" s="702"/>
      <c r="X208" s="703"/>
      <c r="Y208" s="708"/>
      <c r="Z208" s="29"/>
      <c r="AA208" s="31"/>
      <c r="AB208" s="713"/>
      <c r="AC208" s="714"/>
      <c r="AD208" s="714"/>
      <c r="AE208" s="714"/>
      <c r="AF208" s="715"/>
    </row>
    <row r="209" spans="1:32" ht="21" customHeight="1" x14ac:dyDescent="0.25">
      <c r="A209" s="32"/>
      <c r="B209" s="80"/>
      <c r="C209" s="40"/>
      <c r="D209" s="686"/>
      <c r="E209" s="687"/>
      <c r="F209" s="687"/>
      <c r="G209" s="687"/>
      <c r="H209" s="687"/>
      <c r="I209" s="687"/>
      <c r="J209" s="688"/>
      <c r="L209" s="32"/>
      <c r="M209" s="695"/>
      <c r="N209" s="696"/>
      <c r="O209" s="696"/>
      <c r="P209" s="696"/>
      <c r="Q209" s="697"/>
      <c r="S209" s="32"/>
      <c r="T209" s="704"/>
      <c r="U209" s="705"/>
      <c r="V209" s="705"/>
      <c r="W209" s="705"/>
      <c r="X209" s="706"/>
      <c r="Y209" s="709"/>
      <c r="Z209" s="29"/>
      <c r="AA209" s="32"/>
      <c r="AB209" s="716"/>
      <c r="AC209" s="717"/>
      <c r="AD209" s="717"/>
      <c r="AE209" s="717"/>
      <c r="AF209" s="718"/>
    </row>
    <row r="210" spans="1:32" ht="21" customHeight="1" x14ac:dyDescent="0.25">
      <c r="A210" s="30">
        <v>70</v>
      </c>
      <c r="B210" s="79" t="s">
        <v>39</v>
      </c>
      <c r="C210" s="26" t="s">
        <v>427</v>
      </c>
      <c r="D210" s="680" t="s">
        <v>428</v>
      </c>
      <c r="E210" s="681"/>
      <c r="F210" s="681"/>
      <c r="G210" s="681"/>
      <c r="H210" s="681"/>
      <c r="I210" s="681"/>
      <c r="J210" s="682"/>
      <c r="L210" s="30">
        <v>70</v>
      </c>
      <c r="M210" s="689" t="s">
        <v>429</v>
      </c>
      <c r="N210" s="690"/>
      <c r="O210" s="690"/>
      <c r="P210" s="690"/>
      <c r="Q210" s="691"/>
      <c r="S210" s="30">
        <v>70</v>
      </c>
      <c r="T210" s="698" t="s">
        <v>430</v>
      </c>
      <c r="U210" s="699"/>
      <c r="V210" s="699"/>
      <c r="W210" s="699"/>
      <c r="X210" s="700"/>
      <c r="Y210" s="707" t="s">
        <v>431</v>
      </c>
      <c r="AA210" s="30">
        <v>70</v>
      </c>
      <c r="AB210" s="710" t="s">
        <v>432</v>
      </c>
      <c r="AC210" s="711"/>
      <c r="AD210" s="711"/>
      <c r="AE210" s="711"/>
      <c r="AF210" s="712"/>
    </row>
    <row r="211" spans="1:32" ht="21" customHeight="1" x14ac:dyDescent="0.25">
      <c r="A211" s="31"/>
      <c r="B211" s="80"/>
      <c r="C211" s="40"/>
      <c r="D211" s="683"/>
      <c r="E211" s="684"/>
      <c r="F211" s="684"/>
      <c r="G211" s="684"/>
      <c r="H211" s="684"/>
      <c r="I211" s="684"/>
      <c r="J211" s="685"/>
      <c r="L211" s="31"/>
      <c r="M211" s="692"/>
      <c r="N211" s="693"/>
      <c r="O211" s="693"/>
      <c r="P211" s="693"/>
      <c r="Q211" s="694"/>
      <c r="S211" s="31"/>
      <c r="T211" s="701"/>
      <c r="U211" s="702"/>
      <c r="V211" s="702"/>
      <c r="W211" s="702"/>
      <c r="X211" s="703"/>
      <c r="Y211" s="708"/>
      <c r="Z211" s="29"/>
      <c r="AA211" s="31"/>
      <c r="AB211" s="713"/>
      <c r="AC211" s="714"/>
      <c r="AD211" s="714"/>
      <c r="AE211" s="714"/>
      <c r="AF211" s="715"/>
    </row>
    <row r="212" spans="1:32" ht="21" customHeight="1" x14ac:dyDescent="0.25">
      <c r="A212" s="32"/>
      <c r="B212" s="80"/>
      <c r="C212" s="40"/>
      <c r="D212" s="686"/>
      <c r="E212" s="687"/>
      <c r="F212" s="687"/>
      <c r="G212" s="687"/>
      <c r="H212" s="687"/>
      <c r="I212" s="687"/>
      <c r="J212" s="688"/>
      <c r="L212" s="32"/>
      <c r="M212" s="695"/>
      <c r="N212" s="696"/>
      <c r="O212" s="696"/>
      <c r="P212" s="696"/>
      <c r="Q212" s="697"/>
      <c r="S212" s="32"/>
      <c r="T212" s="704"/>
      <c r="U212" s="705"/>
      <c r="V212" s="705"/>
      <c r="W212" s="705"/>
      <c r="X212" s="706"/>
      <c r="Y212" s="709"/>
      <c r="Z212" s="29"/>
      <c r="AA212" s="32"/>
      <c r="AB212" s="716"/>
      <c r="AC212" s="717"/>
      <c r="AD212" s="717"/>
      <c r="AE212" s="717"/>
      <c r="AF212" s="718"/>
    </row>
    <row r="213" spans="1:32" ht="21" customHeight="1" x14ac:dyDescent="0.25">
      <c r="A213" s="30">
        <v>71</v>
      </c>
      <c r="B213" s="79" t="s">
        <v>39</v>
      </c>
      <c r="C213" s="26" t="s">
        <v>427</v>
      </c>
      <c r="D213" s="680" t="s">
        <v>433</v>
      </c>
      <c r="E213" s="681"/>
      <c r="F213" s="681"/>
      <c r="G213" s="681"/>
      <c r="H213" s="681"/>
      <c r="I213" s="681"/>
      <c r="J213" s="682"/>
      <c r="L213" s="30">
        <v>71</v>
      </c>
      <c r="M213" s="689" t="s">
        <v>434</v>
      </c>
      <c r="N213" s="690"/>
      <c r="O213" s="690"/>
      <c r="P213" s="690"/>
      <c r="Q213" s="691"/>
      <c r="S213" s="30">
        <v>71</v>
      </c>
      <c r="T213" s="698" t="s">
        <v>430</v>
      </c>
      <c r="U213" s="699"/>
      <c r="V213" s="699"/>
      <c r="W213" s="699"/>
      <c r="X213" s="700"/>
      <c r="Y213" s="707" t="s">
        <v>435</v>
      </c>
      <c r="AA213" s="30">
        <v>71</v>
      </c>
      <c r="AB213" s="710" t="s">
        <v>436</v>
      </c>
      <c r="AC213" s="711"/>
      <c r="AD213" s="711"/>
      <c r="AE213" s="711"/>
      <c r="AF213" s="712"/>
    </row>
    <row r="214" spans="1:32" ht="21" customHeight="1" x14ac:dyDescent="0.25">
      <c r="A214" s="31"/>
      <c r="B214" s="80"/>
      <c r="C214" s="40"/>
      <c r="D214" s="683"/>
      <c r="E214" s="684"/>
      <c r="F214" s="684"/>
      <c r="G214" s="684"/>
      <c r="H214" s="684"/>
      <c r="I214" s="684"/>
      <c r="J214" s="685"/>
      <c r="L214" s="31"/>
      <c r="M214" s="692"/>
      <c r="N214" s="693"/>
      <c r="O214" s="693"/>
      <c r="P214" s="693"/>
      <c r="Q214" s="694"/>
      <c r="S214" s="31"/>
      <c r="T214" s="701"/>
      <c r="U214" s="702"/>
      <c r="V214" s="702"/>
      <c r="W214" s="702"/>
      <c r="X214" s="703"/>
      <c r="Y214" s="708"/>
      <c r="Z214" s="29"/>
      <c r="AA214" s="31"/>
      <c r="AB214" s="713"/>
      <c r="AC214" s="714"/>
      <c r="AD214" s="714"/>
      <c r="AE214" s="714"/>
      <c r="AF214" s="715"/>
    </row>
    <row r="215" spans="1:32" ht="21" customHeight="1" x14ac:dyDescent="0.25">
      <c r="A215" s="32"/>
      <c r="B215" s="80"/>
      <c r="C215" s="40"/>
      <c r="D215" s="686"/>
      <c r="E215" s="687"/>
      <c r="F215" s="687"/>
      <c r="G215" s="687"/>
      <c r="H215" s="687"/>
      <c r="I215" s="687"/>
      <c r="J215" s="688"/>
      <c r="L215" s="32"/>
      <c r="M215" s="695"/>
      <c r="N215" s="696"/>
      <c r="O215" s="696"/>
      <c r="P215" s="696"/>
      <c r="Q215" s="697"/>
      <c r="S215" s="32"/>
      <c r="T215" s="704"/>
      <c r="U215" s="705"/>
      <c r="V215" s="705"/>
      <c r="W215" s="705"/>
      <c r="X215" s="706"/>
      <c r="Y215" s="709"/>
      <c r="Z215" s="29"/>
      <c r="AA215" s="32"/>
      <c r="AB215" s="716"/>
      <c r="AC215" s="717"/>
      <c r="AD215" s="717"/>
      <c r="AE215" s="717"/>
      <c r="AF215" s="718"/>
    </row>
    <row r="216" spans="1:32" ht="21" customHeight="1" x14ac:dyDescent="0.25">
      <c r="A216" s="30">
        <v>72</v>
      </c>
      <c r="B216" s="79" t="s">
        <v>39</v>
      </c>
      <c r="C216" s="26" t="s">
        <v>437</v>
      </c>
      <c r="D216" s="680" t="s">
        <v>438</v>
      </c>
      <c r="E216" s="681"/>
      <c r="F216" s="681"/>
      <c r="G216" s="681"/>
      <c r="H216" s="681"/>
      <c r="I216" s="681"/>
      <c r="J216" s="682"/>
      <c r="L216" s="30">
        <v>72</v>
      </c>
      <c r="M216" s="689" t="s">
        <v>439</v>
      </c>
      <c r="N216" s="690"/>
      <c r="O216" s="690"/>
      <c r="P216" s="690"/>
      <c r="Q216" s="691"/>
      <c r="S216" s="30">
        <v>72</v>
      </c>
      <c r="T216" s="698" t="s">
        <v>440</v>
      </c>
      <c r="U216" s="699"/>
      <c r="V216" s="699"/>
      <c r="W216" s="699"/>
      <c r="X216" s="700"/>
      <c r="Y216" s="707" t="s">
        <v>441</v>
      </c>
      <c r="AA216" s="30">
        <v>72</v>
      </c>
      <c r="AB216" s="710" t="s">
        <v>442</v>
      </c>
      <c r="AC216" s="711"/>
      <c r="AD216" s="711"/>
      <c r="AE216" s="711"/>
      <c r="AF216" s="712"/>
    </row>
    <row r="217" spans="1:32" ht="21" customHeight="1" x14ac:dyDescent="0.25">
      <c r="A217" s="31"/>
      <c r="B217" s="80"/>
      <c r="C217" s="40"/>
      <c r="D217" s="683"/>
      <c r="E217" s="684"/>
      <c r="F217" s="684"/>
      <c r="G217" s="684"/>
      <c r="H217" s="684"/>
      <c r="I217" s="684"/>
      <c r="J217" s="685"/>
      <c r="L217" s="31"/>
      <c r="M217" s="692"/>
      <c r="N217" s="693"/>
      <c r="O217" s="693"/>
      <c r="P217" s="693"/>
      <c r="Q217" s="694"/>
      <c r="S217" s="31"/>
      <c r="T217" s="701"/>
      <c r="U217" s="702"/>
      <c r="V217" s="702"/>
      <c r="W217" s="702"/>
      <c r="X217" s="703"/>
      <c r="Y217" s="708"/>
      <c r="Z217" s="29"/>
      <c r="AA217" s="31"/>
      <c r="AB217" s="713"/>
      <c r="AC217" s="714"/>
      <c r="AD217" s="714"/>
      <c r="AE217" s="714"/>
      <c r="AF217" s="715"/>
    </row>
    <row r="218" spans="1:32" ht="21" customHeight="1" x14ac:dyDescent="0.25">
      <c r="A218" s="32"/>
      <c r="B218" s="80"/>
      <c r="C218" s="40"/>
      <c r="D218" s="686"/>
      <c r="E218" s="687"/>
      <c r="F218" s="687"/>
      <c r="G218" s="687"/>
      <c r="H218" s="687"/>
      <c r="I218" s="687"/>
      <c r="J218" s="688"/>
      <c r="L218" s="32"/>
      <c r="M218" s="695"/>
      <c r="N218" s="696"/>
      <c r="O218" s="696"/>
      <c r="P218" s="696"/>
      <c r="Q218" s="697"/>
      <c r="S218" s="32"/>
      <c r="T218" s="704"/>
      <c r="U218" s="705"/>
      <c r="V218" s="705"/>
      <c r="W218" s="705"/>
      <c r="X218" s="706"/>
      <c r="Y218" s="709"/>
      <c r="Z218" s="29"/>
      <c r="AA218" s="32"/>
      <c r="AB218" s="716"/>
      <c r="AC218" s="717"/>
      <c r="AD218" s="717"/>
      <c r="AE218" s="717"/>
      <c r="AF218" s="718"/>
    </row>
    <row r="219" spans="1:32" ht="21" customHeight="1" x14ac:dyDescent="0.25">
      <c r="A219" s="30">
        <v>73</v>
      </c>
      <c r="B219" s="79" t="s">
        <v>39</v>
      </c>
      <c r="C219" s="26" t="s">
        <v>443</v>
      </c>
      <c r="D219" s="680" t="s">
        <v>444</v>
      </c>
      <c r="E219" s="681"/>
      <c r="F219" s="681"/>
      <c r="G219" s="681"/>
      <c r="H219" s="681"/>
      <c r="I219" s="681"/>
      <c r="J219" s="682"/>
      <c r="L219" s="30">
        <v>73</v>
      </c>
      <c r="M219" s="689" t="s">
        <v>445</v>
      </c>
      <c r="N219" s="690"/>
      <c r="O219" s="690"/>
      <c r="P219" s="690"/>
      <c r="Q219" s="691"/>
      <c r="S219" s="30">
        <v>73</v>
      </c>
      <c r="T219" s="698" t="s">
        <v>446</v>
      </c>
      <c r="U219" s="699"/>
      <c r="V219" s="699"/>
      <c r="W219" s="699"/>
      <c r="X219" s="700"/>
      <c r="Y219" s="707" t="s">
        <v>447</v>
      </c>
      <c r="AA219" s="30">
        <v>73</v>
      </c>
      <c r="AB219" s="710" t="s">
        <v>448</v>
      </c>
      <c r="AC219" s="711"/>
      <c r="AD219" s="711"/>
      <c r="AE219" s="711"/>
      <c r="AF219" s="712"/>
    </row>
    <row r="220" spans="1:32" ht="21" customHeight="1" x14ac:dyDescent="0.25">
      <c r="A220" s="31"/>
      <c r="B220" s="80"/>
      <c r="C220" s="40"/>
      <c r="D220" s="683"/>
      <c r="E220" s="684"/>
      <c r="F220" s="684"/>
      <c r="G220" s="684"/>
      <c r="H220" s="684"/>
      <c r="I220" s="684"/>
      <c r="J220" s="685"/>
      <c r="L220" s="31"/>
      <c r="M220" s="692"/>
      <c r="N220" s="693"/>
      <c r="O220" s="693"/>
      <c r="P220" s="693"/>
      <c r="Q220" s="694"/>
      <c r="S220" s="31"/>
      <c r="T220" s="701"/>
      <c r="U220" s="702"/>
      <c r="V220" s="702"/>
      <c r="W220" s="702"/>
      <c r="X220" s="703"/>
      <c r="Y220" s="708"/>
      <c r="Z220" s="29"/>
      <c r="AA220" s="31"/>
      <c r="AB220" s="713"/>
      <c r="AC220" s="714"/>
      <c r="AD220" s="714"/>
      <c r="AE220" s="714"/>
      <c r="AF220" s="715"/>
    </row>
    <row r="221" spans="1:32" ht="21" customHeight="1" x14ac:dyDescent="0.25">
      <c r="A221" s="32"/>
      <c r="B221" s="80"/>
      <c r="C221" s="40"/>
      <c r="D221" s="686"/>
      <c r="E221" s="687"/>
      <c r="F221" s="687"/>
      <c r="G221" s="687"/>
      <c r="H221" s="687"/>
      <c r="I221" s="687"/>
      <c r="J221" s="688"/>
      <c r="L221" s="32"/>
      <c r="M221" s="695"/>
      <c r="N221" s="696"/>
      <c r="O221" s="696"/>
      <c r="P221" s="696"/>
      <c r="Q221" s="697"/>
      <c r="S221" s="32"/>
      <c r="T221" s="704"/>
      <c r="U221" s="705"/>
      <c r="V221" s="705"/>
      <c r="W221" s="705"/>
      <c r="X221" s="706"/>
      <c r="Y221" s="709"/>
      <c r="Z221" s="29"/>
      <c r="AA221" s="32"/>
      <c r="AB221" s="716"/>
      <c r="AC221" s="717"/>
      <c r="AD221" s="717"/>
      <c r="AE221" s="717"/>
      <c r="AF221" s="718"/>
    </row>
    <row r="222" spans="1:32" ht="21" customHeight="1" x14ac:dyDescent="0.25">
      <c r="A222" s="30">
        <v>74</v>
      </c>
      <c r="B222" s="79" t="s">
        <v>39</v>
      </c>
      <c r="C222" s="26" t="s">
        <v>449</v>
      </c>
      <c r="D222" s="680" t="s">
        <v>450</v>
      </c>
      <c r="E222" s="681"/>
      <c r="F222" s="681"/>
      <c r="G222" s="681"/>
      <c r="H222" s="681"/>
      <c r="I222" s="681"/>
      <c r="J222" s="682"/>
      <c r="L222" s="30">
        <v>74</v>
      </c>
      <c r="M222" s="689" t="s">
        <v>451</v>
      </c>
      <c r="N222" s="690"/>
      <c r="O222" s="690"/>
      <c r="P222" s="690"/>
      <c r="Q222" s="691"/>
      <c r="S222" s="30">
        <v>74</v>
      </c>
      <c r="T222" s="698" t="s">
        <v>452</v>
      </c>
      <c r="U222" s="699"/>
      <c r="V222" s="699"/>
      <c r="W222" s="699"/>
      <c r="X222" s="700"/>
      <c r="Y222" s="707" t="s">
        <v>453</v>
      </c>
      <c r="AA222" s="30">
        <v>74</v>
      </c>
      <c r="AB222" s="710" t="s">
        <v>454</v>
      </c>
      <c r="AC222" s="711"/>
      <c r="AD222" s="711"/>
      <c r="AE222" s="711"/>
      <c r="AF222" s="712"/>
    </row>
    <row r="223" spans="1:32" ht="21" customHeight="1" x14ac:dyDescent="0.25">
      <c r="A223" s="31"/>
      <c r="B223" s="80"/>
      <c r="C223" s="40"/>
      <c r="D223" s="683"/>
      <c r="E223" s="684"/>
      <c r="F223" s="684"/>
      <c r="G223" s="684"/>
      <c r="H223" s="684"/>
      <c r="I223" s="684"/>
      <c r="J223" s="685"/>
      <c r="L223" s="31"/>
      <c r="M223" s="692"/>
      <c r="N223" s="693"/>
      <c r="O223" s="693"/>
      <c r="P223" s="693"/>
      <c r="Q223" s="694"/>
      <c r="S223" s="31"/>
      <c r="T223" s="701"/>
      <c r="U223" s="702"/>
      <c r="V223" s="702"/>
      <c r="W223" s="702"/>
      <c r="X223" s="703"/>
      <c r="Y223" s="708"/>
      <c r="Z223" s="29"/>
      <c r="AA223" s="31"/>
      <c r="AB223" s="713"/>
      <c r="AC223" s="714"/>
      <c r="AD223" s="714"/>
      <c r="AE223" s="714"/>
      <c r="AF223" s="715"/>
    </row>
    <row r="224" spans="1:32" ht="21" customHeight="1" x14ac:dyDescent="0.25">
      <c r="A224" s="32"/>
      <c r="B224" s="80"/>
      <c r="C224" s="40"/>
      <c r="D224" s="686"/>
      <c r="E224" s="687"/>
      <c r="F224" s="687"/>
      <c r="G224" s="687"/>
      <c r="H224" s="687"/>
      <c r="I224" s="687"/>
      <c r="J224" s="688"/>
      <c r="L224" s="32"/>
      <c r="M224" s="695"/>
      <c r="N224" s="696"/>
      <c r="O224" s="696"/>
      <c r="P224" s="696"/>
      <c r="Q224" s="697"/>
      <c r="S224" s="32"/>
      <c r="T224" s="704"/>
      <c r="U224" s="705"/>
      <c r="V224" s="705"/>
      <c r="W224" s="705"/>
      <c r="X224" s="706"/>
      <c r="Y224" s="709"/>
      <c r="Z224" s="29"/>
      <c r="AA224" s="32"/>
      <c r="AB224" s="716"/>
      <c r="AC224" s="717"/>
      <c r="AD224" s="717"/>
      <c r="AE224" s="717"/>
      <c r="AF224" s="718"/>
    </row>
    <row r="225" spans="1:32" ht="21" customHeight="1" x14ac:dyDescent="0.25">
      <c r="A225" s="30">
        <v>75</v>
      </c>
      <c r="B225" s="79" t="s">
        <v>39</v>
      </c>
      <c r="C225" s="26" t="s">
        <v>455</v>
      </c>
      <c r="D225" s="680" t="s">
        <v>456</v>
      </c>
      <c r="E225" s="681"/>
      <c r="F225" s="681"/>
      <c r="G225" s="681"/>
      <c r="H225" s="681"/>
      <c r="I225" s="681"/>
      <c r="J225" s="682"/>
      <c r="L225" s="30">
        <v>75</v>
      </c>
      <c r="M225" s="689" t="s">
        <v>457</v>
      </c>
      <c r="N225" s="690"/>
      <c r="O225" s="690"/>
      <c r="P225" s="690"/>
      <c r="Q225" s="691"/>
      <c r="S225" s="30">
        <v>75</v>
      </c>
      <c r="T225" s="698" t="s">
        <v>458</v>
      </c>
      <c r="U225" s="699"/>
      <c r="V225" s="699"/>
      <c r="W225" s="699"/>
      <c r="X225" s="700"/>
      <c r="Y225" s="707" t="s">
        <v>459</v>
      </c>
      <c r="AA225" s="30">
        <v>75</v>
      </c>
      <c r="AB225" s="710" t="s">
        <v>460</v>
      </c>
      <c r="AC225" s="711"/>
      <c r="AD225" s="711"/>
      <c r="AE225" s="711"/>
      <c r="AF225" s="712"/>
    </row>
    <row r="226" spans="1:32" ht="21" customHeight="1" x14ac:dyDescent="0.25">
      <c r="A226" s="31"/>
      <c r="B226" s="80"/>
      <c r="C226" s="40"/>
      <c r="D226" s="683"/>
      <c r="E226" s="684"/>
      <c r="F226" s="684"/>
      <c r="G226" s="684"/>
      <c r="H226" s="684"/>
      <c r="I226" s="684"/>
      <c r="J226" s="685"/>
      <c r="L226" s="31"/>
      <c r="M226" s="692"/>
      <c r="N226" s="693"/>
      <c r="O226" s="693"/>
      <c r="P226" s="693"/>
      <c r="Q226" s="694"/>
      <c r="S226" s="31"/>
      <c r="T226" s="701"/>
      <c r="U226" s="702"/>
      <c r="V226" s="702"/>
      <c r="W226" s="702"/>
      <c r="X226" s="703"/>
      <c r="Y226" s="708"/>
      <c r="Z226" s="29"/>
      <c r="AA226" s="31"/>
      <c r="AB226" s="713"/>
      <c r="AC226" s="714"/>
      <c r="AD226" s="714"/>
      <c r="AE226" s="714"/>
      <c r="AF226" s="715"/>
    </row>
    <row r="227" spans="1:32" ht="21" customHeight="1" x14ac:dyDescent="0.25">
      <c r="A227" s="32"/>
      <c r="B227" s="80"/>
      <c r="C227" s="40"/>
      <c r="D227" s="686"/>
      <c r="E227" s="687"/>
      <c r="F227" s="687"/>
      <c r="G227" s="687"/>
      <c r="H227" s="687"/>
      <c r="I227" s="687"/>
      <c r="J227" s="688"/>
      <c r="L227" s="32"/>
      <c r="M227" s="695"/>
      <c r="N227" s="696"/>
      <c r="O227" s="696"/>
      <c r="P227" s="696"/>
      <c r="Q227" s="697"/>
      <c r="S227" s="32"/>
      <c r="T227" s="704"/>
      <c r="U227" s="705"/>
      <c r="V227" s="705"/>
      <c r="W227" s="705"/>
      <c r="X227" s="706"/>
      <c r="Y227" s="709"/>
      <c r="Z227" s="29"/>
      <c r="AA227" s="32"/>
      <c r="AB227" s="716"/>
      <c r="AC227" s="717"/>
      <c r="AD227" s="717"/>
      <c r="AE227" s="717"/>
      <c r="AF227" s="718"/>
    </row>
    <row r="228" spans="1:32" ht="21" customHeight="1" x14ac:dyDescent="0.25">
      <c r="A228" s="30">
        <v>76</v>
      </c>
      <c r="B228" s="81" t="s">
        <v>461</v>
      </c>
      <c r="C228" s="26" t="s">
        <v>40</v>
      </c>
      <c r="D228" s="680" t="s">
        <v>462</v>
      </c>
      <c r="E228" s="681"/>
      <c r="F228" s="681"/>
      <c r="G228" s="681"/>
      <c r="H228" s="681"/>
      <c r="I228" s="681"/>
      <c r="J228" s="682"/>
      <c r="L228" s="30">
        <v>76</v>
      </c>
      <c r="M228" s="689" t="s">
        <v>439</v>
      </c>
      <c r="N228" s="690"/>
      <c r="O228" s="690"/>
      <c r="P228" s="690"/>
      <c r="Q228" s="691"/>
      <c r="S228" s="30">
        <v>76</v>
      </c>
      <c r="T228" s="698" t="s">
        <v>43</v>
      </c>
      <c r="U228" s="699"/>
      <c r="V228" s="699"/>
      <c r="W228" s="699"/>
      <c r="X228" s="700"/>
      <c r="Y228" s="707" t="s">
        <v>441</v>
      </c>
      <c r="AA228" s="30">
        <v>76</v>
      </c>
      <c r="AB228" s="710" t="s">
        <v>463</v>
      </c>
      <c r="AC228" s="711"/>
      <c r="AD228" s="711"/>
      <c r="AE228" s="711"/>
      <c r="AF228" s="712"/>
    </row>
    <row r="229" spans="1:32" ht="21" customHeight="1" x14ac:dyDescent="0.25">
      <c r="A229" s="31"/>
      <c r="B229" s="82"/>
      <c r="C229" s="40"/>
      <c r="D229" s="683"/>
      <c r="E229" s="719"/>
      <c r="F229" s="719"/>
      <c r="G229" s="719"/>
      <c r="H229" s="719"/>
      <c r="I229" s="719"/>
      <c r="J229" s="685"/>
      <c r="L229" s="31"/>
      <c r="M229" s="692"/>
      <c r="N229" s="720"/>
      <c r="O229" s="720"/>
      <c r="P229" s="720"/>
      <c r="Q229" s="694"/>
      <c r="S229" s="31"/>
      <c r="T229" s="701"/>
      <c r="U229" s="721"/>
      <c r="V229" s="721"/>
      <c r="W229" s="721"/>
      <c r="X229" s="703"/>
      <c r="Y229" s="708"/>
      <c r="Z229" s="29"/>
      <c r="AA229" s="31"/>
      <c r="AB229" s="713"/>
      <c r="AC229" s="722"/>
      <c r="AD229" s="722"/>
      <c r="AE229" s="722"/>
      <c r="AF229" s="715"/>
    </row>
    <row r="230" spans="1:32" ht="21" customHeight="1" x14ac:dyDescent="0.25">
      <c r="A230" s="32"/>
      <c r="B230" s="82"/>
      <c r="C230" s="40"/>
      <c r="D230" s="686"/>
      <c r="E230" s="687"/>
      <c r="F230" s="687"/>
      <c r="G230" s="687"/>
      <c r="H230" s="687"/>
      <c r="I230" s="687"/>
      <c r="J230" s="688"/>
      <c r="L230" s="32"/>
      <c r="M230" s="695"/>
      <c r="N230" s="696"/>
      <c r="O230" s="696"/>
      <c r="P230" s="696"/>
      <c r="Q230" s="697"/>
      <c r="S230" s="32"/>
      <c r="T230" s="704"/>
      <c r="U230" s="705"/>
      <c r="V230" s="705"/>
      <c r="W230" s="705"/>
      <c r="X230" s="706"/>
      <c r="Y230" s="709"/>
      <c r="Z230" s="29"/>
      <c r="AA230" s="32"/>
      <c r="AB230" s="716"/>
      <c r="AC230" s="717"/>
      <c r="AD230" s="717"/>
      <c r="AE230" s="717"/>
      <c r="AF230" s="718"/>
    </row>
    <row r="231" spans="1:32" ht="21" customHeight="1" x14ac:dyDescent="0.25">
      <c r="A231" s="30">
        <v>77</v>
      </c>
      <c r="B231" s="81" t="s">
        <v>461</v>
      </c>
      <c r="C231" s="26" t="s">
        <v>464</v>
      </c>
      <c r="D231" s="680" t="s">
        <v>465</v>
      </c>
      <c r="E231" s="681"/>
      <c r="F231" s="681"/>
      <c r="G231" s="681"/>
      <c r="H231" s="681"/>
      <c r="I231" s="681"/>
      <c r="J231" s="682"/>
      <c r="L231" s="30">
        <v>77</v>
      </c>
      <c r="M231" s="689" t="s">
        <v>466</v>
      </c>
      <c r="N231" s="690"/>
      <c r="O231" s="690"/>
      <c r="P231" s="690"/>
      <c r="Q231" s="691"/>
      <c r="S231" s="30">
        <v>77</v>
      </c>
      <c r="T231" s="698" t="s">
        <v>467</v>
      </c>
      <c r="U231" s="699"/>
      <c r="V231" s="699"/>
      <c r="W231" s="699"/>
      <c r="X231" s="700"/>
      <c r="Y231" s="707" t="s">
        <v>468</v>
      </c>
      <c r="AA231" s="30">
        <v>77</v>
      </c>
      <c r="AB231" s="710" t="s">
        <v>469</v>
      </c>
      <c r="AC231" s="711"/>
      <c r="AD231" s="711"/>
      <c r="AE231" s="711"/>
      <c r="AF231" s="712"/>
    </row>
    <row r="232" spans="1:32" ht="21" customHeight="1" x14ac:dyDescent="0.25">
      <c r="A232" s="31"/>
      <c r="B232" s="82"/>
      <c r="C232" s="40"/>
      <c r="D232" s="683"/>
      <c r="E232" s="719"/>
      <c r="F232" s="719"/>
      <c r="G232" s="719"/>
      <c r="H232" s="719"/>
      <c r="I232" s="719"/>
      <c r="J232" s="685"/>
      <c r="L232" s="31"/>
      <c r="M232" s="692"/>
      <c r="N232" s="720"/>
      <c r="O232" s="720"/>
      <c r="P232" s="720"/>
      <c r="Q232" s="694"/>
      <c r="S232" s="31"/>
      <c r="T232" s="701"/>
      <c r="U232" s="721"/>
      <c r="V232" s="721"/>
      <c r="W232" s="721"/>
      <c r="X232" s="703"/>
      <c r="Y232" s="708"/>
      <c r="Z232" s="29"/>
      <c r="AA232" s="31"/>
      <c r="AB232" s="713"/>
      <c r="AC232" s="722"/>
      <c r="AD232" s="722"/>
      <c r="AE232" s="722"/>
      <c r="AF232" s="715"/>
    </row>
    <row r="233" spans="1:32" ht="21" customHeight="1" x14ac:dyDescent="0.25">
      <c r="A233" s="32"/>
      <c r="B233" s="82"/>
      <c r="C233" s="40"/>
      <c r="D233" s="686"/>
      <c r="E233" s="687"/>
      <c r="F233" s="687"/>
      <c r="G233" s="687"/>
      <c r="H233" s="687"/>
      <c r="I233" s="687"/>
      <c r="J233" s="688"/>
      <c r="L233" s="32"/>
      <c r="M233" s="695"/>
      <c r="N233" s="696"/>
      <c r="O233" s="696"/>
      <c r="P233" s="696"/>
      <c r="Q233" s="697"/>
      <c r="S233" s="32"/>
      <c r="T233" s="704"/>
      <c r="U233" s="705"/>
      <c r="V233" s="705"/>
      <c r="W233" s="705"/>
      <c r="X233" s="706"/>
      <c r="Y233" s="709"/>
      <c r="Z233" s="29"/>
      <c r="AA233" s="32"/>
      <c r="AB233" s="716"/>
      <c r="AC233" s="717"/>
      <c r="AD233" s="717"/>
      <c r="AE233" s="717"/>
      <c r="AF233" s="718"/>
    </row>
    <row r="234" spans="1:32" ht="21" customHeight="1" x14ac:dyDescent="0.25">
      <c r="A234" s="30">
        <v>78</v>
      </c>
      <c r="B234" s="81" t="s">
        <v>461</v>
      </c>
      <c r="C234" s="26" t="s">
        <v>65</v>
      </c>
      <c r="D234" s="680" t="s">
        <v>470</v>
      </c>
      <c r="E234" s="681"/>
      <c r="F234" s="681"/>
      <c r="G234" s="681"/>
      <c r="H234" s="681"/>
      <c r="I234" s="681"/>
      <c r="J234" s="682"/>
      <c r="L234" s="30">
        <v>78</v>
      </c>
      <c r="M234" s="689" t="s">
        <v>471</v>
      </c>
      <c r="N234" s="690"/>
      <c r="O234" s="690"/>
      <c r="P234" s="690"/>
      <c r="Q234" s="691"/>
      <c r="S234" s="30">
        <v>78</v>
      </c>
      <c r="T234" s="698" t="s">
        <v>472</v>
      </c>
      <c r="U234" s="699"/>
      <c r="V234" s="699"/>
      <c r="W234" s="699"/>
      <c r="X234" s="700"/>
      <c r="Y234" s="707" t="s">
        <v>473</v>
      </c>
      <c r="AA234" s="30">
        <v>78</v>
      </c>
      <c r="AB234" s="710" t="s">
        <v>474</v>
      </c>
      <c r="AC234" s="711"/>
      <c r="AD234" s="711"/>
      <c r="AE234" s="711"/>
      <c r="AF234" s="712"/>
    </row>
    <row r="235" spans="1:32" ht="21" customHeight="1" x14ac:dyDescent="0.25">
      <c r="A235" s="31"/>
      <c r="B235" s="82"/>
      <c r="C235" s="40"/>
      <c r="D235" s="683"/>
      <c r="E235" s="719"/>
      <c r="F235" s="719"/>
      <c r="G235" s="719"/>
      <c r="H235" s="719"/>
      <c r="I235" s="719"/>
      <c r="J235" s="685"/>
      <c r="L235" s="31"/>
      <c r="M235" s="692"/>
      <c r="N235" s="720"/>
      <c r="O235" s="720"/>
      <c r="P235" s="720"/>
      <c r="Q235" s="694"/>
      <c r="S235" s="31"/>
      <c r="T235" s="701"/>
      <c r="U235" s="721"/>
      <c r="V235" s="721"/>
      <c r="W235" s="721"/>
      <c r="X235" s="703"/>
      <c r="Y235" s="708"/>
      <c r="Z235" s="29"/>
      <c r="AA235" s="31"/>
      <c r="AB235" s="713"/>
      <c r="AC235" s="722"/>
      <c r="AD235" s="722"/>
      <c r="AE235" s="722"/>
      <c r="AF235" s="715"/>
    </row>
    <row r="236" spans="1:32" ht="21" customHeight="1" x14ac:dyDescent="0.25">
      <c r="A236" s="32"/>
      <c r="B236" s="82"/>
      <c r="C236" s="40"/>
      <c r="D236" s="686"/>
      <c r="E236" s="687"/>
      <c r="F236" s="687"/>
      <c r="G236" s="687"/>
      <c r="H236" s="687"/>
      <c r="I236" s="687"/>
      <c r="J236" s="688"/>
      <c r="L236" s="32"/>
      <c r="M236" s="695"/>
      <c r="N236" s="696"/>
      <c r="O236" s="696"/>
      <c r="P236" s="696"/>
      <c r="Q236" s="697"/>
      <c r="S236" s="32"/>
      <c r="T236" s="704"/>
      <c r="U236" s="705"/>
      <c r="V236" s="705"/>
      <c r="W236" s="705"/>
      <c r="X236" s="706"/>
      <c r="Y236" s="709"/>
      <c r="Z236" s="29"/>
      <c r="AA236" s="32"/>
      <c r="AB236" s="716"/>
      <c r="AC236" s="717"/>
      <c r="AD236" s="717"/>
      <c r="AE236" s="717"/>
      <c r="AF236" s="718"/>
    </row>
    <row r="237" spans="1:32" ht="21" customHeight="1" x14ac:dyDescent="0.25">
      <c r="A237" s="30">
        <v>79</v>
      </c>
      <c r="B237" s="81" t="s">
        <v>461</v>
      </c>
      <c r="C237" s="26" t="s">
        <v>475</v>
      </c>
      <c r="D237" s="680" t="s">
        <v>476</v>
      </c>
      <c r="E237" s="681"/>
      <c r="F237" s="681"/>
      <c r="G237" s="681"/>
      <c r="H237" s="681"/>
      <c r="I237" s="681"/>
      <c r="J237" s="682"/>
      <c r="L237" s="30">
        <v>79</v>
      </c>
      <c r="M237" s="689" t="s">
        <v>477</v>
      </c>
      <c r="N237" s="690"/>
      <c r="O237" s="690"/>
      <c r="P237" s="690"/>
      <c r="Q237" s="691"/>
      <c r="S237" s="30">
        <v>79</v>
      </c>
      <c r="T237" s="698" t="s">
        <v>478</v>
      </c>
      <c r="U237" s="699"/>
      <c r="V237" s="699"/>
      <c r="W237" s="699"/>
      <c r="X237" s="700"/>
      <c r="Y237" s="707" t="s">
        <v>479</v>
      </c>
      <c r="AA237" s="30">
        <v>79</v>
      </c>
      <c r="AB237" s="710" t="s">
        <v>480</v>
      </c>
      <c r="AC237" s="711"/>
      <c r="AD237" s="711"/>
      <c r="AE237" s="711"/>
      <c r="AF237" s="712"/>
    </row>
    <row r="238" spans="1:32" ht="21" customHeight="1" x14ac:dyDescent="0.25">
      <c r="A238" s="31"/>
      <c r="B238" s="82"/>
      <c r="C238" s="40"/>
      <c r="D238" s="683"/>
      <c r="E238" s="719"/>
      <c r="F238" s="719"/>
      <c r="G238" s="719"/>
      <c r="H238" s="719"/>
      <c r="I238" s="719"/>
      <c r="J238" s="685"/>
      <c r="L238" s="31"/>
      <c r="M238" s="692"/>
      <c r="N238" s="720"/>
      <c r="O238" s="720"/>
      <c r="P238" s="720"/>
      <c r="Q238" s="694"/>
      <c r="S238" s="31"/>
      <c r="T238" s="701"/>
      <c r="U238" s="721"/>
      <c r="V238" s="721"/>
      <c r="W238" s="721"/>
      <c r="X238" s="703"/>
      <c r="Y238" s="708"/>
      <c r="Z238" s="29"/>
      <c r="AA238" s="31"/>
      <c r="AB238" s="713"/>
      <c r="AC238" s="722"/>
      <c r="AD238" s="722"/>
      <c r="AE238" s="722"/>
      <c r="AF238" s="715"/>
    </row>
    <row r="239" spans="1:32" ht="21" customHeight="1" x14ac:dyDescent="0.25">
      <c r="A239" s="32"/>
      <c r="B239" s="82"/>
      <c r="C239" s="40"/>
      <c r="D239" s="686"/>
      <c r="E239" s="687"/>
      <c r="F239" s="687"/>
      <c r="G239" s="687"/>
      <c r="H239" s="687"/>
      <c r="I239" s="687"/>
      <c r="J239" s="688"/>
      <c r="L239" s="32"/>
      <c r="M239" s="695"/>
      <c r="N239" s="696"/>
      <c r="O239" s="696"/>
      <c r="P239" s="696"/>
      <c r="Q239" s="697"/>
      <c r="S239" s="32"/>
      <c r="T239" s="704"/>
      <c r="U239" s="705"/>
      <c r="V239" s="705"/>
      <c r="W239" s="705"/>
      <c r="X239" s="706"/>
      <c r="Y239" s="709"/>
      <c r="Z239" s="29"/>
      <c r="AA239" s="32"/>
      <c r="AB239" s="716"/>
      <c r="AC239" s="717"/>
      <c r="AD239" s="717"/>
      <c r="AE239" s="717"/>
      <c r="AF239" s="718"/>
    </row>
    <row r="240" spans="1:32" ht="21" customHeight="1" x14ac:dyDescent="0.25">
      <c r="A240" s="30">
        <v>80</v>
      </c>
      <c r="B240" s="81" t="s">
        <v>461</v>
      </c>
      <c r="C240" s="26" t="s">
        <v>481</v>
      </c>
      <c r="D240" s="680" t="s">
        <v>482</v>
      </c>
      <c r="E240" s="681"/>
      <c r="F240" s="681"/>
      <c r="G240" s="681"/>
      <c r="H240" s="681"/>
      <c r="I240" s="681"/>
      <c r="J240" s="682"/>
      <c r="L240" s="30">
        <v>80</v>
      </c>
      <c r="M240" s="689" t="s">
        <v>483</v>
      </c>
      <c r="N240" s="690"/>
      <c r="O240" s="690"/>
      <c r="P240" s="690"/>
      <c r="Q240" s="691"/>
      <c r="S240" s="30">
        <v>80</v>
      </c>
      <c r="T240" s="698" t="s">
        <v>484</v>
      </c>
      <c r="U240" s="699"/>
      <c r="V240" s="699"/>
      <c r="W240" s="699"/>
      <c r="X240" s="700"/>
      <c r="Y240" s="707" t="s">
        <v>485</v>
      </c>
      <c r="AA240" s="30">
        <v>80</v>
      </c>
      <c r="AB240" s="710" t="s">
        <v>486</v>
      </c>
      <c r="AC240" s="711"/>
      <c r="AD240" s="711"/>
      <c r="AE240" s="711"/>
      <c r="AF240" s="712"/>
    </row>
    <row r="241" spans="1:32" ht="21" customHeight="1" x14ac:dyDescent="0.25">
      <c r="A241" s="31"/>
      <c r="B241" s="82"/>
      <c r="C241" s="40"/>
      <c r="D241" s="683"/>
      <c r="E241" s="719"/>
      <c r="F241" s="719"/>
      <c r="G241" s="719"/>
      <c r="H241" s="719"/>
      <c r="I241" s="719"/>
      <c r="J241" s="685"/>
      <c r="L241" s="31"/>
      <c r="M241" s="692"/>
      <c r="N241" s="720"/>
      <c r="O241" s="720"/>
      <c r="P241" s="720"/>
      <c r="Q241" s="694"/>
      <c r="S241" s="31"/>
      <c r="T241" s="701"/>
      <c r="U241" s="721"/>
      <c r="V241" s="721"/>
      <c r="W241" s="721"/>
      <c r="X241" s="703"/>
      <c r="Y241" s="708"/>
      <c r="Z241" s="29"/>
      <c r="AA241" s="31"/>
      <c r="AB241" s="713"/>
      <c r="AC241" s="722"/>
      <c r="AD241" s="722"/>
      <c r="AE241" s="722"/>
      <c r="AF241" s="715"/>
    </row>
    <row r="242" spans="1:32" ht="21" customHeight="1" x14ac:dyDescent="0.25">
      <c r="A242" s="32"/>
      <c r="B242" s="82"/>
      <c r="C242" s="40"/>
      <c r="D242" s="686"/>
      <c r="E242" s="687"/>
      <c r="F242" s="687"/>
      <c r="G242" s="687"/>
      <c r="H242" s="687"/>
      <c r="I242" s="687"/>
      <c r="J242" s="688"/>
      <c r="L242" s="32"/>
      <c r="M242" s="695"/>
      <c r="N242" s="696"/>
      <c r="O242" s="696"/>
      <c r="P242" s="696"/>
      <c r="Q242" s="697"/>
      <c r="S242" s="32"/>
      <c r="T242" s="704"/>
      <c r="U242" s="705"/>
      <c r="V242" s="705"/>
      <c r="W242" s="705"/>
      <c r="X242" s="706"/>
      <c r="Y242" s="709"/>
      <c r="Z242" s="29"/>
      <c r="AA242" s="32"/>
      <c r="AB242" s="716"/>
      <c r="AC242" s="717"/>
      <c r="AD242" s="717"/>
      <c r="AE242" s="717"/>
      <c r="AF242" s="718"/>
    </row>
    <row r="243" spans="1:32" ht="21" customHeight="1" x14ac:dyDescent="0.25">
      <c r="A243" s="30">
        <v>81</v>
      </c>
      <c r="B243" s="81" t="s">
        <v>487</v>
      </c>
      <c r="C243" s="26" t="s">
        <v>488</v>
      </c>
      <c r="D243" s="680" t="s">
        <v>489</v>
      </c>
      <c r="E243" s="681"/>
      <c r="F243" s="681"/>
      <c r="G243" s="681"/>
      <c r="H243" s="681"/>
      <c r="I243" s="681"/>
      <c r="J243" s="682"/>
      <c r="L243" s="30">
        <v>81</v>
      </c>
      <c r="M243" s="689" t="s">
        <v>490</v>
      </c>
      <c r="N243" s="690"/>
      <c r="O243" s="690"/>
      <c r="P243" s="690"/>
      <c r="Q243" s="691"/>
      <c r="S243" s="30">
        <v>81</v>
      </c>
      <c r="T243" s="698" t="s">
        <v>491</v>
      </c>
      <c r="U243" s="699"/>
      <c r="V243" s="699"/>
      <c r="W243" s="699"/>
      <c r="X243" s="700"/>
      <c r="Y243" s="707" t="s">
        <v>492</v>
      </c>
      <c r="AA243" s="30">
        <v>81</v>
      </c>
      <c r="AB243" s="710" t="s">
        <v>493</v>
      </c>
      <c r="AC243" s="711"/>
      <c r="AD243" s="711"/>
      <c r="AE243" s="711"/>
      <c r="AF243" s="712"/>
    </row>
    <row r="244" spans="1:32" ht="21" customHeight="1" x14ac:dyDescent="0.25">
      <c r="A244" s="31"/>
      <c r="B244" s="82"/>
      <c r="C244" s="40"/>
      <c r="D244" s="683"/>
      <c r="E244" s="719"/>
      <c r="F244" s="719"/>
      <c r="G244" s="719"/>
      <c r="H244" s="719"/>
      <c r="I244" s="719"/>
      <c r="J244" s="685"/>
      <c r="L244" s="31"/>
      <c r="M244" s="692"/>
      <c r="N244" s="720"/>
      <c r="O244" s="720"/>
      <c r="P244" s="720"/>
      <c r="Q244" s="694"/>
      <c r="S244" s="31"/>
      <c r="T244" s="701"/>
      <c r="U244" s="721"/>
      <c r="V244" s="721"/>
      <c r="W244" s="721"/>
      <c r="X244" s="703"/>
      <c r="Y244" s="708"/>
      <c r="Z244" s="29"/>
      <c r="AA244" s="31"/>
      <c r="AB244" s="713"/>
      <c r="AC244" s="722"/>
      <c r="AD244" s="722"/>
      <c r="AE244" s="722"/>
      <c r="AF244" s="715"/>
    </row>
    <row r="245" spans="1:32" ht="21" customHeight="1" x14ac:dyDescent="0.25">
      <c r="A245" s="32"/>
      <c r="B245" s="82"/>
      <c r="C245" s="40"/>
      <c r="D245" s="686"/>
      <c r="E245" s="687"/>
      <c r="F245" s="687"/>
      <c r="G245" s="687"/>
      <c r="H245" s="687"/>
      <c r="I245" s="687"/>
      <c r="J245" s="688"/>
      <c r="L245" s="32"/>
      <c r="M245" s="695"/>
      <c r="N245" s="696"/>
      <c r="O245" s="696"/>
      <c r="P245" s="696"/>
      <c r="Q245" s="697"/>
      <c r="S245" s="32"/>
      <c r="T245" s="704"/>
      <c r="U245" s="705"/>
      <c r="V245" s="705"/>
      <c r="W245" s="705"/>
      <c r="X245" s="706"/>
      <c r="Y245" s="709"/>
      <c r="Z245" s="29"/>
      <c r="AA245" s="32"/>
      <c r="AB245" s="716"/>
      <c r="AC245" s="717"/>
      <c r="AD245" s="717"/>
      <c r="AE245" s="717"/>
      <c r="AF245" s="718"/>
    </row>
    <row r="246" spans="1:32" ht="21" customHeight="1" x14ac:dyDescent="0.25">
      <c r="A246" s="30">
        <v>82</v>
      </c>
      <c r="B246" s="81" t="s">
        <v>461</v>
      </c>
      <c r="C246" s="26" t="s">
        <v>494</v>
      </c>
      <c r="D246" s="680" t="s">
        <v>495</v>
      </c>
      <c r="E246" s="681"/>
      <c r="F246" s="681"/>
      <c r="G246" s="681"/>
      <c r="H246" s="681"/>
      <c r="I246" s="681"/>
      <c r="J246" s="682"/>
      <c r="L246" s="30">
        <v>82</v>
      </c>
      <c r="M246" s="689" t="s">
        <v>496</v>
      </c>
      <c r="N246" s="690"/>
      <c r="O246" s="690"/>
      <c r="P246" s="690"/>
      <c r="Q246" s="691"/>
      <c r="S246" s="30">
        <v>82</v>
      </c>
      <c r="T246" s="698" t="s">
        <v>497</v>
      </c>
      <c r="U246" s="699"/>
      <c r="V246" s="699"/>
      <c r="W246" s="699"/>
      <c r="X246" s="700"/>
      <c r="Y246" s="707" t="s">
        <v>498</v>
      </c>
      <c r="AA246" s="30">
        <v>82</v>
      </c>
      <c r="AB246" s="710" t="s">
        <v>499</v>
      </c>
      <c r="AC246" s="711"/>
      <c r="AD246" s="711"/>
      <c r="AE246" s="711"/>
      <c r="AF246" s="712"/>
    </row>
    <row r="247" spans="1:32" ht="21" customHeight="1" x14ac:dyDescent="0.25">
      <c r="A247" s="31"/>
      <c r="B247" s="82"/>
      <c r="C247" s="40"/>
      <c r="D247" s="683"/>
      <c r="E247" s="719"/>
      <c r="F247" s="719"/>
      <c r="G247" s="719"/>
      <c r="H247" s="719"/>
      <c r="I247" s="719"/>
      <c r="J247" s="685"/>
      <c r="L247" s="31"/>
      <c r="M247" s="692"/>
      <c r="N247" s="720"/>
      <c r="O247" s="720"/>
      <c r="P247" s="720"/>
      <c r="Q247" s="694"/>
      <c r="S247" s="31"/>
      <c r="T247" s="701"/>
      <c r="U247" s="721"/>
      <c r="V247" s="721"/>
      <c r="W247" s="721"/>
      <c r="X247" s="703"/>
      <c r="Y247" s="708"/>
      <c r="Z247" s="29"/>
      <c r="AA247" s="31"/>
      <c r="AB247" s="713"/>
      <c r="AC247" s="722"/>
      <c r="AD247" s="722"/>
      <c r="AE247" s="722"/>
      <c r="AF247" s="715"/>
    </row>
    <row r="248" spans="1:32" ht="21" customHeight="1" x14ac:dyDescent="0.25">
      <c r="A248" s="32"/>
      <c r="B248" s="82"/>
      <c r="C248" s="40"/>
      <c r="D248" s="686"/>
      <c r="E248" s="687"/>
      <c r="F248" s="687"/>
      <c r="G248" s="687"/>
      <c r="H248" s="687"/>
      <c r="I248" s="687"/>
      <c r="J248" s="688"/>
      <c r="L248" s="32"/>
      <c r="M248" s="695"/>
      <c r="N248" s="696"/>
      <c r="O248" s="696"/>
      <c r="P248" s="696"/>
      <c r="Q248" s="697"/>
      <c r="S248" s="32"/>
      <c r="T248" s="704"/>
      <c r="U248" s="705"/>
      <c r="V248" s="705"/>
      <c r="W248" s="705"/>
      <c r="X248" s="706"/>
      <c r="Y248" s="709"/>
      <c r="Z248" s="29"/>
      <c r="AA248" s="32"/>
      <c r="AB248" s="716"/>
      <c r="AC248" s="717"/>
      <c r="AD248" s="717"/>
      <c r="AE248" s="717"/>
      <c r="AF248" s="718"/>
    </row>
    <row r="249" spans="1:32" ht="21" customHeight="1" x14ac:dyDescent="0.25">
      <c r="A249" s="30">
        <v>83</v>
      </c>
      <c r="B249" s="81" t="s">
        <v>487</v>
      </c>
      <c r="C249" s="26" t="s">
        <v>494</v>
      </c>
      <c r="D249" s="680" t="s">
        <v>500</v>
      </c>
      <c r="E249" s="681"/>
      <c r="F249" s="681"/>
      <c r="G249" s="681"/>
      <c r="H249" s="681"/>
      <c r="I249" s="681"/>
      <c r="J249" s="682"/>
      <c r="L249" s="30">
        <v>83</v>
      </c>
      <c r="M249" s="689" t="s">
        <v>501</v>
      </c>
      <c r="N249" s="690"/>
      <c r="O249" s="690"/>
      <c r="P249" s="690"/>
      <c r="Q249" s="691"/>
      <c r="S249" s="30">
        <v>83</v>
      </c>
      <c r="T249" s="698" t="s">
        <v>502</v>
      </c>
      <c r="U249" s="699"/>
      <c r="V249" s="699"/>
      <c r="W249" s="699"/>
      <c r="X249" s="700"/>
      <c r="Y249" s="707" t="s">
        <v>503</v>
      </c>
      <c r="AA249" s="30">
        <v>83</v>
      </c>
      <c r="AB249" s="710" t="s">
        <v>504</v>
      </c>
      <c r="AC249" s="711"/>
      <c r="AD249" s="711"/>
      <c r="AE249" s="711"/>
      <c r="AF249" s="712"/>
    </row>
    <row r="250" spans="1:32" ht="21" customHeight="1" x14ac:dyDescent="0.25">
      <c r="A250" s="31"/>
      <c r="B250" s="82"/>
      <c r="C250" s="40"/>
      <c r="D250" s="683"/>
      <c r="E250" s="719"/>
      <c r="F250" s="719"/>
      <c r="G250" s="719"/>
      <c r="H250" s="719"/>
      <c r="I250" s="719"/>
      <c r="J250" s="685"/>
      <c r="L250" s="31"/>
      <c r="M250" s="692"/>
      <c r="N250" s="720"/>
      <c r="O250" s="720"/>
      <c r="P250" s="720"/>
      <c r="Q250" s="694"/>
      <c r="S250" s="31"/>
      <c r="T250" s="701"/>
      <c r="U250" s="721"/>
      <c r="V250" s="721"/>
      <c r="W250" s="721"/>
      <c r="X250" s="703"/>
      <c r="Y250" s="708"/>
      <c r="Z250" s="29"/>
      <c r="AA250" s="31"/>
      <c r="AB250" s="713"/>
      <c r="AC250" s="722"/>
      <c r="AD250" s="722"/>
      <c r="AE250" s="722"/>
      <c r="AF250" s="715"/>
    </row>
    <row r="251" spans="1:32" ht="21" customHeight="1" x14ac:dyDescent="0.25">
      <c r="A251" s="32"/>
      <c r="B251" s="82"/>
      <c r="C251" s="40"/>
      <c r="D251" s="686"/>
      <c r="E251" s="687"/>
      <c r="F251" s="687"/>
      <c r="G251" s="687"/>
      <c r="H251" s="687"/>
      <c r="I251" s="687"/>
      <c r="J251" s="688"/>
      <c r="L251" s="32"/>
      <c r="M251" s="695"/>
      <c r="N251" s="696"/>
      <c r="O251" s="696"/>
      <c r="P251" s="696"/>
      <c r="Q251" s="697"/>
      <c r="S251" s="32"/>
      <c r="T251" s="704"/>
      <c r="U251" s="705"/>
      <c r="V251" s="705"/>
      <c r="W251" s="705"/>
      <c r="X251" s="706"/>
      <c r="Y251" s="709"/>
      <c r="Z251" s="29"/>
      <c r="AA251" s="32"/>
      <c r="AB251" s="716"/>
      <c r="AC251" s="717"/>
      <c r="AD251" s="717"/>
      <c r="AE251" s="717"/>
      <c r="AF251" s="718"/>
    </row>
    <row r="252" spans="1:32" ht="21" customHeight="1" x14ac:dyDescent="0.25">
      <c r="A252" s="30">
        <v>84</v>
      </c>
      <c r="B252" s="81" t="s">
        <v>487</v>
      </c>
      <c r="C252" s="26" t="s">
        <v>505</v>
      </c>
      <c r="D252" s="680" t="s">
        <v>506</v>
      </c>
      <c r="E252" s="681"/>
      <c r="F252" s="681"/>
      <c r="G252" s="681"/>
      <c r="H252" s="681"/>
      <c r="I252" s="681"/>
      <c r="J252" s="682"/>
      <c r="L252" s="30">
        <v>84</v>
      </c>
      <c r="M252" s="689" t="s">
        <v>507</v>
      </c>
      <c r="N252" s="690"/>
      <c r="O252" s="690"/>
      <c r="P252" s="690"/>
      <c r="Q252" s="691"/>
      <c r="S252" s="30">
        <v>84</v>
      </c>
      <c r="T252" s="698" t="s">
        <v>508</v>
      </c>
      <c r="U252" s="699"/>
      <c r="V252" s="699"/>
      <c r="W252" s="699"/>
      <c r="X252" s="700"/>
      <c r="Y252" s="707" t="s">
        <v>509</v>
      </c>
      <c r="AA252" s="30">
        <v>84</v>
      </c>
      <c r="AB252" s="710" t="s">
        <v>510</v>
      </c>
      <c r="AC252" s="711"/>
      <c r="AD252" s="711"/>
      <c r="AE252" s="711"/>
      <c r="AF252" s="712"/>
    </row>
    <row r="253" spans="1:32" ht="21" customHeight="1" x14ac:dyDescent="0.25">
      <c r="A253" s="31"/>
      <c r="B253" s="82"/>
      <c r="C253" s="40"/>
      <c r="D253" s="683"/>
      <c r="E253" s="719"/>
      <c r="F253" s="719"/>
      <c r="G253" s="719"/>
      <c r="H253" s="719"/>
      <c r="I253" s="719"/>
      <c r="J253" s="685"/>
      <c r="L253" s="31"/>
      <c r="M253" s="692"/>
      <c r="N253" s="720"/>
      <c r="O253" s="720"/>
      <c r="P253" s="720"/>
      <c r="Q253" s="694"/>
      <c r="S253" s="31"/>
      <c r="T253" s="701"/>
      <c r="U253" s="721"/>
      <c r="V253" s="721"/>
      <c r="W253" s="721"/>
      <c r="X253" s="703"/>
      <c r="Y253" s="708"/>
      <c r="Z253" s="29"/>
      <c r="AA253" s="31"/>
      <c r="AB253" s="713"/>
      <c r="AC253" s="722"/>
      <c r="AD253" s="722"/>
      <c r="AE253" s="722"/>
      <c r="AF253" s="715"/>
    </row>
    <row r="254" spans="1:32" ht="21" customHeight="1" x14ac:dyDescent="0.25">
      <c r="A254" s="32"/>
      <c r="B254" s="82"/>
      <c r="C254" s="40"/>
      <c r="D254" s="686"/>
      <c r="E254" s="687"/>
      <c r="F254" s="687"/>
      <c r="G254" s="687"/>
      <c r="H254" s="687"/>
      <c r="I254" s="687"/>
      <c r="J254" s="688"/>
      <c r="L254" s="32"/>
      <c r="M254" s="695"/>
      <c r="N254" s="696"/>
      <c r="O254" s="696"/>
      <c r="P254" s="696"/>
      <c r="Q254" s="697"/>
      <c r="S254" s="32"/>
      <c r="T254" s="704"/>
      <c r="U254" s="705"/>
      <c r="V254" s="705"/>
      <c r="W254" s="705"/>
      <c r="X254" s="706"/>
      <c r="Y254" s="709"/>
      <c r="Z254" s="29"/>
      <c r="AA254" s="32"/>
      <c r="AB254" s="716"/>
      <c r="AC254" s="717"/>
      <c r="AD254" s="717"/>
      <c r="AE254" s="717"/>
      <c r="AF254" s="718"/>
    </row>
    <row r="255" spans="1:32" ht="21" customHeight="1" x14ac:dyDescent="0.25">
      <c r="A255" s="30">
        <v>85</v>
      </c>
      <c r="B255" s="81" t="s">
        <v>461</v>
      </c>
      <c r="C255" s="26" t="s">
        <v>511</v>
      </c>
      <c r="D255" s="680" t="s">
        <v>512</v>
      </c>
      <c r="E255" s="681"/>
      <c r="F255" s="681"/>
      <c r="G255" s="681"/>
      <c r="H255" s="681"/>
      <c r="I255" s="681"/>
      <c r="J255" s="682"/>
      <c r="L255" s="30">
        <v>85</v>
      </c>
      <c r="M255" s="689" t="s">
        <v>513</v>
      </c>
      <c r="N255" s="690"/>
      <c r="O255" s="690"/>
      <c r="P255" s="690"/>
      <c r="Q255" s="691"/>
      <c r="S255" s="30">
        <v>85</v>
      </c>
      <c r="T255" s="698" t="s">
        <v>514</v>
      </c>
      <c r="U255" s="699"/>
      <c r="V255" s="699"/>
      <c r="W255" s="699"/>
      <c r="X255" s="700"/>
      <c r="Y255" s="707" t="s">
        <v>515</v>
      </c>
      <c r="AA255" s="30">
        <v>85</v>
      </c>
      <c r="AB255" s="710" t="s">
        <v>516</v>
      </c>
      <c r="AC255" s="711"/>
      <c r="AD255" s="711"/>
      <c r="AE255" s="711"/>
      <c r="AF255" s="712"/>
    </row>
    <row r="256" spans="1:32" ht="21" customHeight="1" x14ac:dyDescent="0.25">
      <c r="A256" s="31"/>
      <c r="B256" s="82"/>
      <c r="C256" s="40"/>
      <c r="D256" s="683"/>
      <c r="E256" s="719"/>
      <c r="F256" s="719"/>
      <c r="G256" s="719"/>
      <c r="H256" s="719"/>
      <c r="I256" s="719"/>
      <c r="J256" s="685"/>
      <c r="L256" s="31"/>
      <c r="M256" s="692"/>
      <c r="N256" s="720"/>
      <c r="O256" s="720"/>
      <c r="P256" s="720"/>
      <c r="Q256" s="694"/>
      <c r="S256" s="31"/>
      <c r="T256" s="701"/>
      <c r="U256" s="721"/>
      <c r="V256" s="721"/>
      <c r="W256" s="721"/>
      <c r="X256" s="703"/>
      <c r="Y256" s="708"/>
      <c r="Z256" s="29"/>
      <c r="AA256" s="31"/>
      <c r="AB256" s="713"/>
      <c r="AC256" s="722"/>
      <c r="AD256" s="722"/>
      <c r="AE256" s="722"/>
      <c r="AF256" s="715"/>
    </row>
    <row r="257" spans="1:32" ht="21" customHeight="1" x14ac:dyDescent="0.25">
      <c r="A257" s="32"/>
      <c r="B257" s="82"/>
      <c r="C257" s="40"/>
      <c r="D257" s="686"/>
      <c r="E257" s="687"/>
      <c r="F257" s="687"/>
      <c r="G257" s="687"/>
      <c r="H257" s="687"/>
      <c r="I257" s="687"/>
      <c r="J257" s="688"/>
      <c r="L257" s="32"/>
      <c r="M257" s="695"/>
      <c r="N257" s="696"/>
      <c r="O257" s="696"/>
      <c r="P257" s="696"/>
      <c r="Q257" s="697"/>
      <c r="S257" s="32"/>
      <c r="T257" s="704"/>
      <c r="U257" s="705"/>
      <c r="V257" s="705"/>
      <c r="W257" s="705"/>
      <c r="X257" s="706"/>
      <c r="Y257" s="709"/>
      <c r="Z257" s="29"/>
      <c r="AA257" s="32"/>
      <c r="AB257" s="716"/>
      <c r="AC257" s="717"/>
      <c r="AD257" s="717"/>
      <c r="AE257" s="717"/>
      <c r="AF257" s="718"/>
    </row>
    <row r="258" spans="1:32" ht="21" customHeight="1" x14ac:dyDescent="0.25">
      <c r="A258" s="30">
        <v>86</v>
      </c>
      <c r="B258" s="81" t="s">
        <v>487</v>
      </c>
      <c r="C258" s="26" t="s">
        <v>511</v>
      </c>
      <c r="D258" s="680" t="s">
        <v>517</v>
      </c>
      <c r="E258" s="681"/>
      <c r="F258" s="681"/>
      <c r="G258" s="681"/>
      <c r="H258" s="681"/>
      <c r="I258" s="681"/>
      <c r="J258" s="682"/>
      <c r="L258" s="30">
        <v>86</v>
      </c>
      <c r="M258" s="689" t="s">
        <v>518</v>
      </c>
      <c r="N258" s="690"/>
      <c r="O258" s="690"/>
      <c r="P258" s="690"/>
      <c r="Q258" s="691"/>
      <c r="S258" s="30">
        <v>86</v>
      </c>
      <c r="T258" s="698" t="s">
        <v>519</v>
      </c>
      <c r="U258" s="699"/>
      <c r="V258" s="699"/>
      <c r="W258" s="699"/>
      <c r="X258" s="700"/>
      <c r="Y258" s="707" t="s">
        <v>520</v>
      </c>
      <c r="AA258" s="30">
        <v>86</v>
      </c>
      <c r="AB258" s="710" t="s">
        <v>521</v>
      </c>
      <c r="AC258" s="711"/>
      <c r="AD258" s="711"/>
      <c r="AE258" s="711"/>
      <c r="AF258" s="712"/>
    </row>
    <row r="259" spans="1:32" ht="21" customHeight="1" x14ac:dyDescent="0.25">
      <c r="A259" s="31"/>
      <c r="B259" s="82"/>
      <c r="C259" s="40"/>
      <c r="D259" s="683"/>
      <c r="E259" s="719"/>
      <c r="F259" s="719"/>
      <c r="G259" s="719"/>
      <c r="H259" s="719"/>
      <c r="I259" s="719"/>
      <c r="J259" s="685"/>
      <c r="L259" s="31"/>
      <c r="M259" s="692"/>
      <c r="N259" s="720"/>
      <c r="O259" s="720"/>
      <c r="P259" s="720"/>
      <c r="Q259" s="694"/>
      <c r="S259" s="31"/>
      <c r="T259" s="701"/>
      <c r="U259" s="721"/>
      <c r="V259" s="721"/>
      <c r="W259" s="721"/>
      <c r="X259" s="703"/>
      <c r="Y259" s="708"/>
      <c r="Z259" s="29"/>
      <c r="AA259" s="31"/>
      <c r="AB259" s="713"/>
      <c r="AC259" s="722"/>
      <c r="AD259" s="722"/>
      <c r="AE259" s="722"/>
      <c r="AF259" s="715"/>
    </row>
    <row r="260" spans="1:32" ht="21" customHeight="1" x14ac:dyDescent="0.25">
      <c r="A260" s="32"/>
      <c r="B260" s="82"/>
      <c r="C260" s="40"/>
      <c r="D260" s="686"/>
      <c r="E260" s="687"/>
      <c r="F260" s="687"/>
      <c r="G260" s="687"/>
      <c r="H260" s="687"/>
      <c r="I260" s="687"/>
      <c r="J260" s="688"/>
      <c r="L260" s="32"/>
      <c r="M260" s="695"/>
      <c r="N260" s="696"/>
      <c r="O260" s="696"/>
      <c r="P260" s="696"/>
      <c r="Q260" s="697"/>
      <c r="S260" s="32"/>
      <c r="T260" s="704"/>
      <c r="U260" s="705"/>
      <c r="V260" s="705"/>
      <c r="W260" s="705"/>
      <c r="X260" s="706"/>
      <c r="Y260" s="709"/>
      <c r="Z260" s="29"/>
      <c r="AA260" s="32"/>
      <c r="AB260" s="716"/>
      <c r="AC260" s="717"/>
      <c r="AD260" s="717"/>
      <c r="AE260" s="717"/>
      <c r="AF260" s="718"/>
    </row>
    <row r="261" spans="1:32" ht="21" customHeight="1" x14ac:dyDescent="0.25">
      <c r="A261" s="30">
        <v>87</v>
      </c>
      <c r="B261" s="81" t="s">
        <v>461</v>
      </c>
      <c r="C261" s="26" t="s">
        <v>522</v>
      </c>
      <c r="D261" s="680" t="s">
        <v>523</v>
      </c>
      <c r="E261" s="681"/>
      <c r="F261" s="681"/>
      <c r="G261" s="681"/>
      <c r="H261" s="681"/>
      <c r="I261" s="681"/>
      <c r="J261" s="682"/>
      <c r="L261" s="30">
        <v>87</v>
      </c>
      <c r="M261" s="689" t="s">
        <v>524</v>
      </c>
      <c r="N261" s="690"/>
      <c r="O261" s="690"/>
      <c r="P261" s="690"/>
      <c r="Q261" s="691"/>
      <c r="S261" s="30">
        <v>87</v>
      </c>
      <c r="T261" s="698" t="s">
        <v>525</v>
      </c>
      <c r="U261" s="699"/>
      <c r="V261" s="699"/>
      <c r="W261" s="699"/>
      <c r="X261" s="700"/>
      <c r="Y261" s="707" t="s">
        <v>526</v>
      </c>
      <c r="AA261" s="30">
        <v>87</v>
      </c>
      <c r="AB261" s="710" t="s">
        <v>527</v>
      </c>
      <c r="AC261" s="711"/>
      <c r="AD261" s="711"/>
      <c r="AE261" s="711"/>
      <c r="AF261" s="712"/>
    </row>
    <row r="262" spans="1:32" ht="21" customHeight="1" x14ac:dyDescent="0.25">
      <c r="A262" s="31"/>
      <c r="B262" s="82"/>
      <c r="C262" s="40"/>
      <c r="D262" s="683"/>
      <c r="E262" s="719"/>
      <c r="F262" s="719"/>
      <c r="G262" s="719"/>
      <c r="H262" s="719"/>
      <c r="I262" s="719"/>
      <c r="J262" s="685"/>
      <c r="L262" s="31"/>
      <c r="M262" s="692"/>
      <c r="N262" s="720"/>
      <c r="O262" s="720"/>
      <c r="P262" s="720"/>
      <c r="Q262" s="694"/>
      <c r="S262" s="31"/>
      <c r="T262" s="701"/>
      <c r="U262" s="721"/>
      <c r="V262" s="721"/>
      <c r="W262" s="721"/>
      <c r="X262" s="703"/>
      <c r="Y262" s="708"/>
      <c r="Z262" s="29"/>
      <c r="AA262" s="31"/>
      <c r="AB262" s="713"/>
      <c r="AC262" s="722"/>
      <c r="AD262" s="722"/>
      <c r="AE262" s="722"/>
      <c r="AF262" s="715"/>
    </row>
    <row r="263" spans="1:32" ht="21" customHeight="1" x14ac:dyDescent="0.25">
      <c r="A263" s="32"/>
      <c r="B263" s="82"/>
      <c r="C263" s="40"/>
      <c r="D263" s="686"/>
      <c r="E263" s="687"/>
      <c r="F263" s="687"/>
      <c r="G263" s="687"/>
      <c r="H263" s="687"/>
      <c r="I263" s="687"/>
      <c r="J263" s="688"/>
      <c r="L263" s="32"/>
      <c r="M263" s="695"/>
      <c r="N263" s="696"/>
      <c r="O263" s="696"/>
      <c r="P263" s="696"/>
      <c r="Q263" s="697"/>
      <c r="S263" s="32"/>
      <c r="T263" s="704"/>
      <c r="U263" s="705"/>
      <c r="V263" s="705"/>
      <c r="W263" s="705"/>
      <c r="X263" s="706"/>
      <c r="Y263" s="709"/>
      <c r="Z263" s="29"/>
      <c r="AA263" s="32"/>
      <c r="AB263" s="716"/>
      <c r="AC263" s="717"/>
      <c r="AD263" s="717"/>
      <c r="AE263" s="717"/>
      <c r="AF263" s="718"/>
    </row>
    <row r="264" spans="1:32" ht="21" customHeight="1" x14ac:dyDescent="0.25">
      <c r="A264" s="30">
        <v>88</v>
      </c>
      <c r="B264" s="81" t="s">
        <v>461</v>
      </c>
      <c r="C264" s="26" t="s">
        <v>81</v>
      </c>
      <c r="D264" s="680" t="s">
        <v>528</v>
      </c>
      <c r="E264" s="681"/>
      <c r="F264" s="681"/>
      <c r="G264" s="681"/>
      <c r="H264" s="681"/>
      <c r="I264" s="681"/>
      <c r="J264" s="682"/>
      <c r="L264" s="30">
        <v>88</v>
      </c>
      <c r="M264" s="689" t="s">
        <v>529</v>
      </c>
      <c r="N264" s="690"/>
      <c r="O264" s="690"/>
      <c r="P264" s="690"/>
      <c r="Q264" s="691"/>
      <c r="S264" s="30">
        <v>88</v>
      </c>
      <c r="T264" s="698" t="s">
        <v>84</v>
      </c>
      <c r="U264" s="699"/>
      <c r="V264" s="699"/>
      <c r="W264" s="699"/>
      <c r="X264" s="700"/>
      <c r="Y264" s="707" t="s">
        <v>530</v>
      </c>
      <c r="AA264" s="30">
        <v>88</v>
      </c>
      <c r="AB264" s="710" t="s">
        <v>531</v>
      </c>
      <c r="AC264" s="711"/>
      <c r="AD264" s="711"/>
      <c r="AE264" s="711"/>
      <c r="AF264" s="712"/>
    </row>
    <row r="265" spans="1:32" ht="21" customHeight="1" x14ac:dyDescent="0.25">
      <c r="A265" s="31"/>
      <c r="B265" s="82"/>
      <c r="C265" s="40"/>
      <c r="D265" s="683"/>
      <c r="E265" s="719"/>
      <c r="F265" s="719"/>
      <c r="G265" s="719"/>
      <c r="H265" s="719"/>
      <c r="I265" s="719"/>
      <c r="J265" s="685"/>
      <c r="L265" s="31"/>
      <c r="M265" s="692"/>
      <c r="N265" s="720"/>
      <c r="O265" s="720"/>
      <c r="P265" s="720"/>
      <c r="Q265" s="694"/>
      <c r="S265" s="31"/>
      <c r="T265" s="701"/>
      <c r="U265" s="721"/>
      <c r="V265" s="721"/>
      <c r="W265" s="721"/>
      <c r="X265" s="703"/>
      <c r="Y265" s="708"/>
      <c r="Z265" s="29"/>
      <c r="AA265" s="31"/>
      <c r="AB265" s="713"/>
      <c r="AC265" s="722"/>
      <c r="AD265" s="722"/>
      <c r="AE265" s="722"/>
      <c r="AF265" s="715"/>
    </row>
    <row r="266" spans="1:32" ht="21" customHeight="1" x14ac:dyDescent="0.25">
      <c r="A266" s="32"/>
      <c r="B266" s="82"/>
      <c r="C266" s="40"/>
      <c r="D266" s="686"/>
      <c r="E266" s="687"/>
      <c r="F266" s="687"/>
      <c r="G266" s="687"/>
      <c r="H266" s="687"/>
      <c r="I266" s="687"/>
      <c r="J266" s="688"/>
      <c r="L266" s="32"/>
      <c r="M266" s="695"/>
      <c r="N266" s="696"/>
      <c r="O266" s="696"/>
      <c r="P266" s="696"/>
      <c r="Q266" s="697"/>
      <c r="S266" s="32"/>
      <c r="T266" s="704"/>
      <c r="U266" s="705"/>
      <c r="V266" s="705"/>
      <c r="W266" s="705"/>
      <c r="X266" s="706"/>
      <c r="Y266" s="709"/>
      <c r="Z266" s="29"/>
      <c r="AA266" s="32"/>
      <c r="AB266" s="716"/>
      <c r="AC266" s="717"/>
      <c r="AD266" s="717"/>
      <c r="AE266" s="717"/>
      <c r="AF266" s="718"/>
    </row>
    <row r="267" spans="1:32" ht="21" customHeight="1" x14ac:dyDescent="0.25">
      <c r="A267" s="30">
        <v>89</v>
      </c>
      <c r="B267" s="81" t="s">
        <v>461</v>
      </c>
      <c r="C267" s="26" t="s">
        <v>532</v>
      </c>
      <c r="D267" s="680" t="s">
        <v>533</v>
      </c>
      <c r="E267" s="681"/>
      <c r="F267" s="681"/>
      <c r="G267" s="681"/>
      <c r="H267" s="681"/>
      <c r="I267" s="681"/>
      <c r="J267" s="682"/>
      <c r="L267" s="30">
        <v>89</v>
      </c>
      <c r="M267" s="689" t="s">
        <v>13</v>
      </c>
      <c r="N267" s="690"/>
      <c r="O267" s="690"/>
      <c r="P267" s="690"/>
      <c r="Q267" s="691"/>
      <c r="S267" s="30">
        <v>89</v>
      </c>
      <c r="T267" s="698" t="s">
        <v>534</v>
      </c>
      <c r="U267" s="699"/>
      <c r="V267" s="699"/>
      <c r="W267" s="699"/>
      <c r="X267" s="700"/>
      <c r="Y267" s="707" t="s">
        <v>535</v>
      </c>
      <c r="AA267" s="30">
        <v>89</v>
      </c>
      <c r="AB267" s="710" t="s">
        <v>536</v>
      </c>
      <c r="AC267" s="711"/>
      <c r="AD267" s="711"/>
      <c r="AE267" s="711"/>
      <c r="AF267" s="712"/>
    </row>
    <row r="268" spans="1:32" ht="21" customHeight="1" x14ac:dyDescent="0.25">
      <c r="A268" s="31"/>
      <c r="B268" s="82"/>
      <c r="C268" s="40"/>
      <c r="D268" s="683"/>
      <c r="E268" s="719"/>
      <c r="F268" s="719"/>
      <c r="G268" s="719"/>
      <c r="H268" s="719"/>
      <c r="I268" s="719"/>
      <c r="J268" s="685"/>
      <c r="L268" s="31"/>
      <c r="M268" s="692"/>
      <c r="N268" s="720"/>
      <c r="O268" s="720"/>
      <c r="P268" s="720"/>
      <c r="Q268" s="694"/>
      <c r="S268" s="31"/>
      <c r="T268" s="701"/>
      <c r="U268" s="721"/>
      <c r="V268" s="721"/>
      <c r="W268" s="721"/>
      <c r="X268" s="703"/>
      <c r="Y268" s="708"/>
      <c r="Z268" s="29"/>
      <c r="AA268" s="31"/>
      <c r="AB268" s="713"/>
      <c r="AC268" s="722"/>
      <c r="AD268" s="722"/>
      <c r="AE268" s="722"/>
      <c r="AF268" s="715"/>
    </row>
    <row r="269" spans="1:32" ht="21" customHeight="1" x14ac:dyDescent="0.25">
      <c r="A269" s="32"/>
      <c r="B269" s="82"/>
      <c r="C269" s="40"/>
      <c r="D269" s="686"/>
      <c r="E269" s="687"/>
      <c r="F269" s="687"/>
      <c r="G269" s="687"/>
      <c r="H269" s="687"/>
      <c r="I269" s="687"/>
      <c r="J269" s="688"/>
      <c r="L269" s="32"/>
      <c r="M269" s="695"/>
      <c r="N269" s="696"/>
      <c r="O269" s="696"/>
      <c r="P269" s="696"/>
      <c r="Q269" s="697"/>
      <c r="S269" s="32"/>
      <c r="T269" s="704"/>
      <c r="U269" s="705"/>
      <c r="V269" s="705"/>
      <c r="W269" s="705"/>
      <c r="X269" s="706"/>
      <c r="Y269" s="709"/>
      <c r="Z269" s="29"/>
      <c r="AA269" s="32"/>
      <c r="AB269" s="716"/>
      <c r="AC269" s="717"/>
      <c r="AD269" s="717"/>
      <c r="AE269" s="717"/>
      <c r="AF269" s="718"/>
    </row>
    <row r="270" spans="1:32" ht="21" customHeight="1" x14ac:dyDescent="0.25">
      <c r="A270" s="30">
        <v>90</v>
      </c>
      <c r="B270" s="81" t="s">
        <v>487</v>
      </c>
      <c r="C270" s="26" t="s">
        <v>537</v>
      </c>
      <c r="D270" s="680" t="s">
        <v>538</v>
      </c>
      <c r="E270" s="681"/>
      <c r="F270" s="681"/>
      <c r="G270" s="681"/>
      <c r="H270" s="681"/>
      <c r="I270" s="681"/>
      <c r="J270" s="682"/>
      <c r="L270" s="30">
        <v>90</v>
      </c>
      <c r="M270" s="689" t="s">
        <v>539</v>
      </c>
      <c r="N270" s="690"/>
      <c r="O270" s="690"/>
      <c r="P270" s="690"/>
      <c r="Q270" s="691"/>
      <c r="S270" s="30">
        <v>90</v>
      </c>
      <c r="T270" s="698" t="s">
        <v>540</v>
      </c>
      <c r="U270" s="699"/>
      <c r="V270" s="699"/>
      <c r="W270" s="699"/>
      <c r="X270" s="700"/>
      <c r="Y270" s="707" t="s">
        <v>541</v>
      </c>
      <c r="AA270" s="30">
        <v>90</v>
      </c>
      <c r="AB270" s="710" t="s">
        <v>542</v>
      </c>
      <c r="AC270" s="711"/>
      <c r="AD270" s="711"/>
      <c r="AE270" s="711"/>
      <c r="AF270" s="712"/>
    </row>
    <row r="271" spans="1:32" ht="21" customHeight="1" x14ac:dyDescent="0.25">
      <c r="A271" s="31"/>
      <c r="B271" s="82"/>
      <c r="C271" s="40"/>
      <c r="D271" s="683"/>
      <c r="E271" s="719"/>
      <c r="F271" s="719"/>
      <c r="G271" s="719"/>
      <c r="H271" s="719"/>
      <c r="I271" s="719"/>
      <c r="J271" s="685"/>
      <c r="L271" s="31"/>
      <c r="M271" s="692"/>
      <c r="N271" s="720"/>
      <c r="O271" s="720"/>
      <c r="P271" s="720"/>
      <c r="Q271" s="694"/>
      <c r="S271" s="31"/>
      <c r="T271" s="701"/>
      <c r="U271" s="721"/>
      <c r="V271" s="721"/>
      <c r="W271" s="721"/>
      <c r="X271" s="703"/>
      <c r="Y271" s="708"/>
      <c r="Z271" s="29"/>
      <c r="AA271" s="31"/>
      <c r="AB271" s="713"/>
      <c r="AC271" s="722"/>
      <c r="AD271" s="722"/>
      <c r="AE271" s="722"/>
      <c r="AF271" s="715"/>
    </row>
    <row r="272" spans="1:32" ht="21" customHeight="1" x14ac:dyDescent="0.25">
      <c r="A272" s="32"/>
      <c r="B272" s="82"/>
      <c r="C272" s="40"/>
      <c r="D272" s="686"/>
      <c r="E272" s="687"/>
      <c r="F272" s="687"/>
      <c r="G272" s="687"/>
      <c r="H272" s="687"/>
      <c r="I272" s="687"/>
      <c r="J272" s="688"/>
      <c r="L272" s="32"/>
      <c r="M272" s="695"/>
      <c r="N272" s="696"/>
      <c r="O272" s="696"/>
      <c r="P272" s="696"/>
      <c r="Q272" s="697"/>
      <c r="S272" s="32"/>
      <c r="T272" s="704"/>
      <c r="U272" s="705"/>
      <c r="V272" s="705"/>
      <c r="W272" s="705"/>
      <c r="X272" s="706"/>
      <c r="Y272" s="709"/>
      <c r="Z272" s="29"/>
      <c r="AA272" s="32"/>
      <c r="AB272" s="716"/>
      <c r="AC272" s="717"/>
      <c r="AD272" s="717"/>
      <c r="AE272" s="717"/>
      <c r="AF272" s="718"/>
    </row>
    <row r="273" spans="1:32" ht="21" customHeight="1" x14ac:dyDescent="0.25">
      <c r="A273" s="30">
        <v>91</v>
      </c>
      <c r="B273" s="81" t="s">
        <v>461</v>
      </c>
      <c r="C273" s="26" t="s">
        <v>93</v>
      </c>
      <c r="D273" s="680" t="s">
        <v>543</v>
      </c>
      <c r="E273" s="681"/>
      <c r="F273" s="681"/>
      <c r="G273" s="681"/>
      <c r="H273" s="681"/>
      <c r="I273" s="681"/>
      <c r="J273" s="682"/>
      <c r="L273" s="30">
        <v>91</v>
      </c>
      <c r="M273" s="689" t="s">
        <v>457</v>
      </c>
      <c r="N273" s="690"/>
      <c r="O273" s="690"/>
      <c r="P273" s="690"/>
      <c r="Q273" s="691"/>
      <c r="S273" s="30">
        <v>91</v>
      </c>
      <c r="T273" s="698" t="s">
        <v>544</v>
      </c>
      <c r="U273" s="699"/>
      <c r="V273" s="699"/>
      <c r="W273" s="699"/>
      <c r="X273" s="700"/>
      <c r="Y273" s="707" t="s">
        <v>459</v>
      </c>
      <c r="AA273" s="30">
        <v>91</v>
      </c>
      <c r="AB273" s="710" t="s">
        <v>545</v>
      </c>
      <c r="AC273" s="711"/>
      <c r="AD273" s="711"/>
      <c r="AE273" s="711"/>
      <c r="AF273" s="712"/>
    </row>
    <row r="274" spans="1:32" ht="21" customHeight="1" x14ac:dyDescent="0.25">
      <c r="A274" s="31"/>
      <c r="B274" s="82"/>
      <c r="C274" s="40"/>
      <c r="D274" s="683"/>
      <c r="E274" s="719"/>
      <c r="F274" s="719"/>
      <c r="G274" s="719"/>
      <c r="H274" s="719"/>
      <c r="I274" s="719"/>
      <c r="J274" s="685"/>
      <c r="L274" s="31"/>
      <c r="M274" s="692"/>
      <c r="N274" s="720"/>
      <c r="O274" s="720"/>
      <c r="P274" s="720"/>
      <c r="Q274" s="694"/>
      <c r="S274" s="31"/>
      <c r="T274" s="701"/>
      <c r="U274" s="721"/>
      <c r="V274" s="721"/>
      <c r="W274" s="721"/>
      <c r="X274" s="703"/>
      <c r="Y274" s="708"/>
      <c r="Z274" s="29"/>
      <c r="AA274" s="31"/>
      <c r="AB274" s="713"/>
      <c r="AC274" s="722"/>
      <c r="AD274" s="722"/>
      <c r="AE274" s="722"/>
      <c r="AF274" s="715"/>
    </row>
    <row r="275" spans="1:32" ht="21" customHeight="1" x14ac:dyDescent="0.25">
      <c r="A275" s="32"/>
      <c r="B275" s="82"/>
      <c r="C275" s="40"/>
      <c r="D275" s="686"/>
      <c r="E275" s="687"/>
      <c r="F275" s="687"/>
      <c r="G275" s="687"/>
      <c r="H275" s="687"/>
      <c r="I275" s="687"/>
      <c r="J275" s="688"/>
      <c r="L275" s="32"/>
      <c r="M275" s="695"/>
      <c r="N275" s="696"/>
      <c r="O275" s="696"/>
      <c r="P275" s="696"/>
      <c r="Q275" s="697"/>
      <c r="S275" s="32"/>
      <c r="T275" s="704"/>
      <c r="U275" s="705"/>
      <c r="V275" s="705"/>
      <c r="W275" s="705"/>
      <c r="X275" s="706"/>
      <c r="Y275" s="709"/>
      <c r="Z275" s="29"/>
      <c r="AA275" s="32"/>
      <c r="AB275" s="716"/>
      <c r="AC275" s="717"/>
      <c r="AD275" s="717"/>
      <c r="AE275" s="717"/>
      <c r="AF275" s="718"/>
    </row>
    <row r="276" spans="1:32" ht="21" customHeight="1" x14ac:dyDescent="0.25">
      <c r="A276" s="30">
        <v>92</v>
      </c>
      <c r="B276" s="81" t="s">
        <v>461</v>
      </c>
      <c r="C276" s="26" t="s">
        <v>546</v>
      </c>
      <c r="D276" s="680" t="s">
        <v>547</v>
      </c>
      <c r="E276" s="681"/>
      <c r="F276" s="681"/>
      <c r="G276" s="681"/>
      <c r="H276" s="681"/>
      <c r="I276" s="681"/>
      <c r="J276" s="682"/>
      <c r="L276" s="30">
        <v>92</v>
      </c>
      <c r="M276" s="689" t="s">
        <v>548</v>
      </c>
      <c r="N276" s="690"/>
      <c r="O276" s="690"/>
      <c r="P276" s="690"/>
      <c r="Q276" s="691"/>
      <c r="S276" s="30">
        <v>92</v>
      </c>
      <c r="T276" s="698" t="s">
        <v>549</v>
      </c>
      <c r="U276" s="699"/>
      <c r="V276" s="699"/>
      <c r="W276" s="699"/>
      <c r="X276" s="700"/>
      <c r="Y276" s="707" t="s">
        <v>550</v>
      </c>
      <c r="AA276" s="30">
        <v>92</v>
      </c>
      <c r="AB276" s="710" t="s">
        <v>551</v>
      </c>
      <c r="AC276" s="711"/>
      <c r="AD276" s="711"/>
      <c r="AE276" s="711"/>
      <c r="AF276" s="712"/>
    </row>
    <row r="277" spans="1:32" ht="21" customHeight="1" x14ac:dyDescent="0.25">
      <c r="A277" s="31"/>
      <c r="B277" s="82"/>
      <c r="C277" s="40"/>
      <c r="D277" s="683"/>
      <c r="E277" s="719"/>
      <c r="F277" s="719"/>
      <c r="G277" s="719"/>
      <c r="H277" s="719"/>
      <c r="I277" s="719"/>
      <c r="J277" s="685"/>
      <c r="L277" s="31"/>
      <c r="M277" s="692"/>
      <c r="N277" s="720"/>
      <c r="O277" s="720"/>
      <c r="P277" s="720"/>
      <c r="Q277" s="694"/>
      <c r="S277" s="31"/>
      <c r="T277" s="701"/>
      <c r="U277" s="721"/>
      <c r="V277" s="721"/>
      <c r="W277" s="721"/>
      <c r="X277" s="703"/>
      <c r="Y277" s="708"/>
      <c r="Z277" s="29"/>
      <c r="AA277" s="31"/>
      <c r="AB277" s="713"/>
      <c r="AC277" s="722"/>
      <c r="AD277" s="722"/>
      <c r="AE277" s="722"/>
      <c r="AF277" s="715"/>
    </row>
    <row r="278" spans="1:32" ht="21" customHeight="1" x14ac:dyDescent="0.25">
      <c r="A278" s="32"/>
      <c r="B278" s="82"/>
      <c r="C278" s="40"/>
      <c r="D278" s="686"/>
      <c r="E278" s="687"/>
      <c r="F278" s="687"/>
      <c r="G278" s="687"/>
      <c r="H278" s="687"/>
      <c r="I278" s="687"/>
      <c r="J278" s="688"/>
      <c r="L278" s="32"/>
      <c r="M278" s="695"/>
      <c r="N278" s="696"/>
      <c r="O278" s="696"/>
      <c r="P278" s="696"/>
      <c r="Q278" s="697"/>
      <c r="S278" s="32"/>
      <c r="T278" s="704"/>
      <c r="U278" s="705"/>
      <c r="V278" s="705"/>
      <c r="W278" s="705"/>
      <c r="X278" s="706"/>
      <c r="Y278" s="709"/>
      <c r="Z278" s="29"/>
      <c r="AA278" s="32"/>
      <c r="AB278" s="716"/>
      <c r="AC278" s="717"/>
      <c r="AD278" s="717"/>
      <c r="AE278" s="717"/>
      <c r="AF278" s="718"/>
    </row>
    <row r="279" spans="1:32" ht="21" customHeight="1" x14ac:dyDescent="0.25">
      <c r="A279" s="30">
        <v>93</v>
      </c>
      <c r="B279" s="81" t="s">
        <v>461</v>
      </c>
      <c r="C279" s="26" t="s">
        <v>552</v>
      </c>
      <c r="D279" s="680" t="s">
        <v>553</v>
      </c>
      <c r="E279" s="681"/>
      <c r="F279" s="681"/>
      <c r="G279" s="681"/>
      <c r="H279" s="681"/>
      <c r="I279" s="681"/>
      <c r="J279" s="682"/>
      <c r="L279" s="30">
        <v>93</v>
      </c>
      <c r="M279" s="689" t="s">
        <v>554</v>
      </c>
      <c r="N279" s="690"/>
      <c r="O279" s="690"/>
      <c r="P279" s="690"/>
      <c r="Q279" s="691"/>
      <c r="S279" s="30">
        <v>93</v>
      </c>
      <c r="T279" s="698" t="s">
        <v>555</v>
      </c>
      <c r="U279" s="699"/>
      <c r="V279" s="699"/>
      <c r="W279" s="699"/>
      <c r="X279" s="700"/>
      <c r="Y279" s="707" t="s">
        <v>556</v>
      </c>
      <c r="AA279" s="30">
        <v>93</v>
      </c>
      <c r="AB279" s="710" t="s">
        <v>557</v>
      </c>
      <c r="AC279" s="711"/>
      <c r="AD279" s="711"/>
      <c r="AE279" s="711"/>
      <c r="AF279" s="712"/>
    </row>
    <row r="280" spans="1:32" ht="21" customHeight="1" x14ac:dyDescent="0.25">
      <c r="A280" s="31"/>
      <c r="B280" s="82"/>
      <c r="C280" s="40"/>
      <c r="D280" s="683"/>
      <c r="E280" s="719"/>
      <c r="F280" s="719"/>
      <c r="G280" s="719"/>
      <c r="H280" s="719"/>
      <c r="I280" s="719"/>
      <c r="J280" s="685"/>
      <c r="L280" s="31"/>
      <c r="M280" s="692"/>
      <c r="N280" s="720"/>
      <c r="O280" s="720"/>
      <c r="P280" s="720"/>
      <c r="Q280" s="694"/>
      <c r="S280" s="31"/>
      <c r="T280" s="701"/>
      <c r="U280" s="721"/>
      <c r="V280" s="721"/>
      <c r="W280" s="721"/>
      <c r="X280" s="703"/>
      <c r="Y280" s="708"/>
      <c r="Z280" s="29"/>
      <c r="AA280" s="31"/>
      <c r="AB280" s="713"/>
      <c r="AC280" s="722"/>
      <c r="AD280" s="722"/>
      <c r="AE280" s="722"/>
      <c r="AF280" s="715"/>
    </row>
    <row r="281" spans="1:32" ht="21" customHeight="1" x14ac:dyDescent="0.25">
      <c r="A281" s="32"/>
      <c r="B281" s="82"/>
      <c r="C281" s="40"/>
      <c r="D281" s="686"/>
      <c r="E281" s="687"/>
      <c r="F281" s="687"/>
      <c r="G281" s="687"/>
      <c r="H281" s="687"/>
      <c r="I281" s="687"/>
      <c r="J281" s="688"/>
      <c r="L281" s="32"/>
      <c r="M281" s="695"/>
      <c r="N281" s="696"/>
      <c r="O281" s="696"/>
      <c r="P281" s="696"/>
      <c r="Q281" s="697"/>
      <c r="S281" s="32"/>
      <c r="T281" s="704"/>
      <c r="U281" s="705"/>
      <c r="V281" s="705"/>
      <c r="W281" s="705"/>
      <c r="X281" s="706"/>
      <c r="Y281" s="709"/>
      <c r="Z281" s="29"/>
      <c r="AA281" s="32"/>
      <c r="AB281" s="716"/>
      <c r="AC281" s="717"/>
      <c r="AD281" s="717"/>
      <c r="AE281" s="717"/>
      <c r="AF281" s="718"/>
    </row>
    <row r="282" spans="1:32" ht="21" customHeight="1" x14ac:dyDescent="0.25">
      <c r="A282" s="30">
        <v>94</v>
      </c>
      <c r="B282" s="81" t="s">
        <v>461</v>
      </c>
      <c r="C282" s="26" t="s">
        <v>558</v>
      </c>
      <c r="D282" s="680" t="s">
        <v>559</v>
      </c>
      <c r="E282" s="681"/>
      <c r="F282" s="681"/>
      <c r="G282" s="681"/>
      <c r="H282" s="681"/>
      <c r="I282" s="681"/>
      <c r="J282" s="682"/>
      <c r="L282" s="30">
        <v>94</v>
      </c>
      <c r="M282" s="689" t="s">
        <v>560</v>
      </c>
      <c r="N282" s="690"/>
      <c r="O282" s="690"/>
      <c r="P282" s="690"/>
      <c r="Q282" s="691"/>
      <c r="S282" s="30">
        <v>94</v>
      </c>
      <c r="T282" s="698" t="s">
        <v>561</v>
      </c>
      <c r="U282" s="699"/>
      <c r="V282" s="699"/>
      <c r="W282" s="699"/>
      <c r="X282" s="700"/>
      <c r="Y282" s="707" t="s">
        <v>562</v>
      </c>
      <c r="AA282" s="30">
        <v>94</v>
      </c>
      <c r="AB282" s="710" t="s">
        <v>563</v>
      </c>
      <c r="AC282" s="711"/>
      <c r="AD282" s="711"/>
      <c r="AE282" s="711"/>
      <c r="AF282" s="712"/>
    </row>
    <row r="283" spans="1:32" ht="21" customHeight="1" x14ac:dyDescent="0.25">
      <c r="A283" s="31"/>
      <c r="B283" s="82"/>
      <c r="C283" s="40"/>
      <c r="D283" s="683"/>
      <c r="E283" s="719"/>
      <c r="F283" s="719"/>
      <c r="G283" s="719"/>
      <c r="H283" s="719"/>
      <c r="I283" s="719"/>
      <c r="J283" s="685"/>
      <c r="L283" s="31"/>
      <c r="M283" s="692"/>
      <c r="N283" s="720"/>
      <c r="O283" s="720"/>
      <c r="P283" s="720"/>
      <c r="Q283" s="694"/>
      <c r="S283" s="31"/>
      <c r="T283" s="701"/>
      <c r="U283" s="721"/>
      <c r="V283" s="721"/>
      <c r="W283" s="721"/>
      <c r="X283" s="703"/>
      <c r="Y283" s="708"/>
      <c r="Z283" s="29"/>
      <c r="AA283" s="31"/>
      <c r="AB283" s="713"/>
      <c r="AC283" s="722"/>
      <c r="AD283" s="722"/>
      <c r="AE283" s="722"/>
      <c r="AF283" s="715"/>
    </row>
    <row r="284" spans="1:32" ht="21" customHeight="1" x14ac:dyDescent="0.25">
      <c r="A284" s="32"/>
      <c r="B284" s="82"/>
      <c r="C284" s="40"/>
      <c r="D284" s="686"/>
      <c r="E284" s="687"/>
      <c r="F284" s="687"/>
      <c r="G284" s="687"/>
      <c r="H284" s="687"/>
      <c r="I284" s="687"/>
      <c r="J284" s="688"/>
      <c r="L284" s="32"/>
      <c r="M284" s="695"/>
      <c r="N284" s="696"/>
      <c r="O284" s="696"/>
      <c r="P284" s="696"/>
      <c r="Q284" s="697"/>
      <c r="S284" s="32"/>
      <c r="T284" s="704"/>
      <c r="U284" s="705"/>
      <c r="V284" s="705"/>
      <c r="W284" s="705"/>
      <c r="X284" s="706"/>
      <c r="Y284" s="709"/>
      <c r="Z284" s="29"/>
      <c r="AA284" s="32"/>
      <c r="AB284" s="716"/>
      <c r="AC284" s="717"/>
      <c r="AD284" s="717"/>
      <c r="AE284" s="717"/>
      <c r="AF284" s="718"/>
    </row>
    <row r="285" spans="1:32" ht="21" customHeight="1" x14ac:dyDescent="0.25">
      <c r="A285" s="30">
        <v>95</v>
      </c>
      <c r="B285" s="81" t="s">
        <v>461</v>
      </c>
      <c r="C285" s="26" t="s">
        <v>564</v>
      </c>
      <c r="D285" s="680" t="s">
        <v>565</v>
      </c>
      <c r="E285" s="681"/>
      <c r="F285" s="681"/>
      <c r="G285" s="681"/>
      <c r="H285" s="681"/>
      <c r="I285" s="681"/>
      <c r="J285" s="682"/>
      <c r="L285" s="30">
        <v>95</v>
      </c>
      <c r="M285" s="689" t="s">
        <v>566</v>
      </c>
      <c r="N285" s="690"/>
      <c r="O285" s="690"/>
      <c r="P285" s="690"/>
      <c r="Q285" s="691"/>
      <c r="S285" s="30">
        <v>95</v>
      </c>
      <c r="T285" s="698" t="s">
        <v>567</v>
      </c>
      <c r="U285" s="699"/>
      <c r="V285" s="699"/>
      <c r="W285" s="699"/>
      <c r="X285" s="700"/>
      <c r="Y285" s="707" t="s">
        <v>568</v>
      </c>
      <c r="AA285" s="30">
        <v>95</v>
      </c>
      <c r="AB285" s="710" t="s">
        <v>569</v>
      </c>
      <c r="AC285" s="711"/>
      <c r="AD285" s="711"/>
      <c r="AE285" s="711"/>
      <c r="AF285" s="712"/>
    </row>
    <row r="286" spans="1:32" ht="21" customHeight="1" x14ac:dyDescent="0.25">
      <c r="A286" s="31"/>
      <c r="B286" s="82"/>
      <c r="C286" s="40"/>
      <c r="D286" s="683"/>
      <c r="E286" s="719"/>
      <c r="F286" s="719"/>
      <c r="G286" s="719"/>
      <c r="H286" s="719"/>
      <c r="I286" s="719"/>
      <c r="J286" s="685"/>
      <c r="L286" s="31"/>
      <c r="M286" s="692"/>
      <c r="N286" s="720"/>
      <c r="O286" s="720"/>
      <c r="P286" s="720"/>
      <c r="Q286" s="694"/>
      <c r="S286" s="31"/>
      <c r="T286" s="701"/>
      <c r="U286" s="721"/>
      <c r="V286" s="721"/>
      <c r="W286" s="721"/>
      <c r="X286" s="703"/>
      <c r="Y286" s="708"/>
      <c r="Z286" s="29"/>
      <c r="AA286" s="31"/>
      <c r="AB286" s="713"/>
      <c r="AC286" s="722"/>
      <c r="AD286" s="722"/>
      <c r="AE286" s="722"/>
      <c r="AF286" s="715"/>
    </row>
    <row r="287" spans="1:32" ht="21" customHeight="1" x14ac:dyDescent="0.25">
      <c r="A287" s="32"/>
      <c r="B287" s="82"/>
      <c r="C287" s="40"/>
      <c r="D287" s="686"/>
      <c r="E287" s="687"/>
      <c r="F287" s="687"/>
      <c r="G287" s="687"/>
      <c r="H287" s="687"/>
      <c r="I287" s="687"/>
      <c r="J287" s="688"/>
      <c r="L287" s="32"/>
      <c r="M287" s="695"/>
      <c r="N287" s="696"/>
      <c r="O287" s="696"/>
      <c r="P287" s="696"/>
      <c r="Q287" s="697"/>
      <c r="S287" s="32"/>
      <c r="T287" s="704"/>
      <c r="U287" s="705"/>
      <c r="V287" s="705"/>
      <c r="W287" s="705"/>
      <c r="X287" s="706"/>
      <c r="Y287" s="709"/>
      <c r="Z287" s="29"/>
      <c r="AA287" s="32"/>
      <c r="AB287" s="716"/>
      <c r="AC287" s="717"/>
      <c r="AD287" s="717"/>
      <c r="AE287" s="717"/>
      <c r="AF287" s="718"/>
    </row>
    <row r="288" spans="1:32" ht="21" customHeight="1" x14ac:dyDescent="0.25">
      <c r="A288" s="30">
        <v>96</v>
      </c>
      <c r="B288" s="81" t="s">
        <v>487</v>
      </c>
      <c r="C288" s="26" t="s">
        <v>570</v>
      </c>
      <c r="D288" s="680" t="s">
        <v>571</v>
      </c>
      <c r="E288" s="681"/>
      <c r="F288" s="681"/>
      <c r="G288" s="681"/>
      <c r="H288" s="681"/>
      <c r="I288" s="681"/>
      <c r="J288" s="682"/>
      <c r="L288" s="30">
        <v>96</v>
      </c>
      <c r="M288" s="689" t="s">
        <v>572</v>
      </c>
      <c r="N288" s="690"/>
      <c r="O288" s="690"/>
      <c r="P288" s="690"/>
      <c r="Q288" s="691"/>
      <c r="S288" s="30">
        <v>96</v>
      </c>
      <c r="T288" s="698" t="s">
        <v>573</v>
      </c>
      <c r="U288" s="699"/>
      <c r="V288" s="699"/>
      <c r="W288" s="699"/>
      <c r="X288" s="700"/>
      <c r="Y288" s="707" t="s">
        <v>574</v>
      </c>
      <c r="AA288" s="30">
        <v>96</v>
      </c>
      <c r="AB288" s="710" t="s">
        <v>575</v>
      </c>
      <c r="AC288" s="711"/>
      <c r="AD288" s="711"/>
      <c r="AE288" s="711"/>
      <c r="AF288" s="712"/>
    </row>
    <row r="289" spans="1:32" ht="21" customHeight="1" x14ac:dyDescent="0.25">
      <c r="A289" s="31"/>
      <c r="B289" s="82"/>
      <c r="C289" s="40"/>
      <c r="D289" s="683"/>
      <c r="E289" s="719"/>
      <c r="F289" s="719"/>
      <c r="G289" s="719"/>
      <c r="H289" s="719"/>
      <c r="I289" s="719"/>
      <c r="J289" s="685"/>
      <c r="L289" s="31"/>
      <c r="M289" s="692"/>
      <c r="N289" s="720"/>
      <c r="O289" s="720"/>
      <c r="P289" s="720"/>
      <c r="Q289" s="694"/>
      <c r="S289" s="31"/>
      <c r="T289" s="701"/>
      <c r="U289" s="721"/>
      <c r="V289" s="721"/>
      <c r="W289" s="721"/>
      <c r="X289" s="703"/>
      <c r="Y289" s="708"/>
      <c r="Z289" s="29"/>
      <c r="AA289" s="31"/>
      <c r="AB289" s="713"/>
      <c r="AC289" s="722"/>
      <c r="AD289" s="722"/>
      <c r="AE289" s="722"/>
      <c r="AF289" s="715"/>
    </row>
    <row r="290" spans="1:32" ht="21" customHeight="1" x14ac:dyDescent="0.25">
      <c r="A290" s="32"/>
      <c r="B290" s="82"/>
      <c r="C290" s="40"/>
      <c r="D290" s="686"/>
      <c r="E290" s="687"/>
      <c r="F290" s="687"/>
      <c r="G290" s="687"/>
      <c r="H290" s="687"/>
      <c r="I290" s="687"/>
      <c r="J290" s="688"/>
      <c r="L290" s="32"/>
      <c r="M290" s="695"/>
      <c r="N290" s="696"/>
      <c r="O290" s="696"/>
      <c r="P290" s="696"/>
      <c r="Q290" s="697"/>
      <c r="S290" s="32"/>
      <c r="T290" s="704"/>
      <c r="U290" s="705"/>
      <c r="V290" s="705"/>
      <c r="W290" s="705"/>
      <c r="X290" s="706"/>
      <c r="Y290" s="709"/>
      <c r="Z290" s="29"/>
      <c r="AA290" s="32"/>
      <c r="AB290" s="716"/>
      <c r="AC290" s="717"/>
      <c r="AD290" s="717"/>
      <c r="AE290" s="717"/>
      <c r="AF290" s="718"/>
    </row>
    <row r="291" spans="1:32" ht="21" customHeight="1" x14ac:dyDescent="0.25">
      <c r="A291" s="30">
        <v>97</v>
      </c>
      <c r="B291" s="81" t="s">
        <v>461</v>
      </c>
      <c r="C291" s="26" t="s">
        <v>151</v>
      </c>
      <c r="D291" s="680" t="s">
        <v>576</v>
      </c>
      <c r="E291" s="681"/>
      <c r="F291" s="681"/>
      <c r="G291" s="681"/>
      <c r="H291" s="681"/>
      <c r="I291" s="681"/>
      <c r="J291" s="682"/>
      <c r="L291" s="30">
        <v>97</v>
      </c>
      <c r="M291" s="689" t="s">
        <v>577</v>
      </c>
      <c r="N291" s="690"/>
      <c r="O291" s="690"/>
      <c r="P291" s="690"/>
      <c r="Q291" s="691"/>
      <c r="S291" s="30">
        <v>97</v>
      </c>
      <c r="T291" s="698" t="s">
        <v>578</v>
      </c>
      <c r="U291" s="699"/>
      <c r="V291" s="699"/>
      <c r="W291" s="699"/>
      <c r="X291" s="700"/>
      <c r="Y291" s="707" t="s">
        <v>579</v>
      </c>
      <c r="AA291" s="30">
        <v>97</v>
      </c>
      <c r="AB291" s="710" t="s">
        <v>580</v>
      </c>
      <c r="AC291" s="711"/>
      <c r="AD291" s="711"/>
      <c r="AE291" s="711"/>
      <c r="AF291" s="712"/>
    </row>
    <row r="292" spans="1:32" ht="21" customHeight="1" x14ac:dyDescent="0.25">
      <c r="A292" s="31"/>
      <c r="B292" s="82"/>
      <c r="C292" s="40"/>
      <c r="D292" s="683"/>
      <c r="E292" s="719"/>
      <c r="F292" s="719"/>
      <c r="G292" s="719"/>
      <c r="H292" s="719"/>
      <c r="I292" s="719"/>
      <c r="J292" s="685"/>
      <c r="L292" s="31"/>
      <c r="M292" s="692"/>
      <c r="N292" s="720"/>
      <c r="O292" s="720"/>
      <c r="P292" s="720"/>
      <c r="Q292" s="694"/>
      <c r="S292" s="31"/>
      <c r="T292" s="701"/>
      <c r="U292" s="721"/>
      <c r="V292" s="721"/>
      <c r="W292" s="721"/>
      <c r="X292" s="703"/>
      <c r="Y292" s="708"/>
      <c r="Z292" s="29"/>
      <c r="AA292" s="31"/>
      <c r="AB292" s="713"/>
      <c r="AC292" s="722"/>
      <c r="AD292" s="722"/>
      <c r="AE292" s="722"/>
      <c r="AF292" s="715"/>
    </row>
    <row r="293" spans="1:32" ht="21" customHeight="1" x14ac:dyDescent="0.25">
      <c r="A293" s="32"/>
      <c r="B293" s="82"/>
      <c r="C293" s="40"/>
      <c r="D293" s="686"/>
      <c r="E293" s="687"/>
      <c r="F293" s="687"/>
      <c r="G293" s="687"/>
      <c r="H293" s="687"/>
      <c r="I293" s="687"/>
      <c r="J293" s="688"/>
      <c r="L293" s="32"/>
      <c r="M293" s="695"/>
      <c r="N293" s="696"/>
      <c r="O293" s="696"/>
      <c r="P293" s="696"/>
      <c r="Q293" s="697"/>
      <c r="S293" s="32"/>
      <c r="T293" s="704"/>
      <c r="U293" s="705"/>
      <c r="V293" s="705"/>
      <c r="W293" s="705"/>
      <c r="X293" s="706"/>
      <c r="Y293" s="709"/>
      <c r="Z293" s="29"/>
      <c r="AA293" s="32"/>
      <c r="AB293" s="716"/>
      <c r="AC293" s="717"/>
      <c r="AD293" s="717"/>
      <c r="AE293" s="717"/>
      <c r="AF293" s="718"/>
    </row>
    <row r="294" spans="1:32" ht="21" customHeight="1" x14ac:dyDescent="0.25">
      <c r="A294" s="30">
        <v>98</v>
      </c>
      <c r="B294" s="81" t="s">
        <v>461</v>
      </c>
      <c r="C294" s="26" t="s">
        <v>581</v>
      </c>
      <c r="D294" s="680" t="s">
        <v>582</v>
      </c>
      <c r="E294" s="681"/>
      <c r="F294" s="681"/>
      <c r="G294" s="681"/>
      <c r="H294" s="681"/>
      <c r="I294" s="681"/>
      <c r="J294" s="682"/>
      <c r="L294" s="30">
        <v>98</v>
      </c>
      <c r="M294" s="689" t="s">
        <v>583</v>
      </c>
      <c r="N294" s="690"/>
      <c r="O294" s="690"/>
      <c r="P294" s="690"/>
      <c r="Q294" s="691"/>
      <c r="S294" s="30">
        <v>98</v>
      </c>
      <c r="T294" s="698" t="s">
        <v>584</v>
      </c>
      <c r="U294" s="699"/>
      <c r="V294" s="699"/>
      <c r="W294" s="699"/>
      <c r="X294" s="700"/>
      <c r="Y294" s="707" t="s">
        <v>585</v>
      </c>
      <c r="AA294" s="30">
        <v>98</v>
      </c>
      <c r="AB294" s="710" t="s">
        <v>586</v>
      </c>
      <c r="AC294" s="711"/>
      <c r="AD294" s="711"/>
      <c r="AE294" s="711"/>
      <c r="AF294" s="712"/>
    </row>
    <row r="295" spans="1:32" ht="21" customHeight="1" x14ac:dyDescent="0.25">
      <c r="A295" s="31"/>
      <c r="B295" s="82"/>
      <c r="C295" s="40"/>
      <c r="D295" s="683"/>
      <c r="E295" s="719"/>
      <c r="F295" s="719"/>
      <c r="G295" s="719"/>
      <c r="H295" s="719"/>
      <c r="I295" s="719"/>
      <c r="J295" s="685"/>
      <c r="L295" s="31"/>
      <c r="M295" s="692"/>
      <c r="N295" s="720"/>
      <c r="O295" s="720"/>
      <c r="P295" s="720"/>
      <c r="Q295" s="694"/>
      <c r="S295" s="31"/>
      <c r="T295" s="701"/>
      <c r="U295" s="721"/>
      <c r="V295" s="721"/>
      <c r="W295" s="721"/>
      <c r="X295" s="703"/>
      <c r="Y295" s="708"/>
      <c r="Z295" s="29"/>
      <c r="AA295" s="31"/>
      <c r="AB295" s="713"/>
      <c r="AC295" s="722"/>
      <c r="AD295" s="722"/>
      <c r="AE295" s="722"/>
      <c r="AF295" s="715"/>
    </row>
    <row r="296" spans="1:32" ht="21" customHeight="1" x14ac:dyDescent="0.25">
      <c r="A296" s="32"/>
      <c r="B296" s="82"/>
      <c r="C296" s="40"/>
      <c r="D296" s="686"/>
      <c r="E296" s="687"/>
      <c r="F296" s="687"/>
      <c r="G296" s="687"/>
      <c r="H296" s="687"/>
      <c r="I296" s="687"/>
      <c r="J296" s="688"/>
      <c r="L296" s="32"/>
      <c r="M296" s="695"/>
      <c r="N296" s="696"/>
      <c r="O296" s="696"/>
      <c r="P296" s="696"/>
      <c r="Q296" s="697"/>
      <c r="S296" s="32"/>
      <c r="T296" s="704"/>
      <c r="U296" s="705"/>
      <c r="V296" s="705"/>
      <c r="W296" s="705"/>
      <c r="X296" s="706"/>
      <c r="Y296" s="709"/>
      <c r="Z296" s="29"/>
      <c r="AA296" s="32"/>
      <c r="AB296" s="716"/>
      <c r="AC296" s="717"/>
      <c r="AD296" s="717"/>
      <c r="AE296" s="717"/>
      <c r="AF296" s="718"/>
    </row>
    <row r="297" spans="1:32" ht="21" customHeight="1" x14ac:dyDescent="0.25">
      <c r="A297" s="30">
        <v>99</v>
      </c>
      <c r="B297" s="81" t="s">
        <v>461</v>
      </c>
      <c r="C297" s="26" t="s">
        <v>179</v>
      </c>
      <c r="D297" s="680" t="s">
        <v>587</v>
      </c>
      <c r="E297" s="681"/>
      <c r="F297" s="681"/>
      <c r="G297" s="681"/>
      <c r="H297" s="681"/>
      <c r="I297" s="681"/>
      <c r="J297" s="682"/>
      <c r="L297" s="30">
        <v>99</v>
      </c>
      <c r="M297" s="689" t="s">
        <v>588</v>
      </c>
      <c r="N297" s="690"/>
      <c r="O297" s="690"/>
      <c r="P297" s="690"/>
      <c r="Q297" s="691"/>
      <c r="S297" s="30">
        <v>99</v>
      </c>
      <c r="T297" s="698" t="s">
        <v>181</v>
      </c>
      <c r="U297" s="699"/>
      <c r="V297" s="699"/>
      <c r="W297" s="699"/>
      <c r="X297" s="700"/>
      <c r="Y297" s="707" t="s">
        <v>589</v>
      </c>
      <c r="AA297" s="30">
        <v>99</v>
      </c>
      <c r="AB297" s="710" t="s">
        <v>590</v>
      </c>
      <c r="AC297" s="711"/>
      <c r="AD297" s="711"/>
      <c r="AE297" s="711"/>
      <c r="AF297" s="712"/>
    </row>
    <row r="298" spans="1:32" ht="21" customHeight="1" x14ac:dyDescent="0.25">
      <c r="A298" s="31"/>
      <c r="B298" s="82"/>
      <c r="C298" s="40"/>
      <c r="D298" s="683"/>
      <c r="E298" s="719"/>
      <c r="F298" s="719"/>
      <c r="G298" s="719"/>
      <c r="H298" s="719"/>
      <c r="I298" s="719"/>
      <c r="J298" s="685"/>
      <c r="L298" s="31"/>
      <c r="M298" s="692"/>
      <c r="N298" s="720"/>
      <c r="O298" s="720"/>
      <c r="P298" s="720"/>
      <c r="Q298" s="694"/>
      <c r="S298" s="31"/>
      <c r="T298" s="701"/>
      <c r="U298" s="721"/>
      <c r="V298" s="721"/>
      <c r="W298" s="721"/>
      <c r="X298" s="703"/>
      <c r="Y298" s="708"/>
      <c r="Z298" s="29"/>
      <c r="AA298" s="31"/>
      <c r="AB298" s="713"/>
      <c r="AC298" s="722"/>
      <c r="AD298" s="722"/>
      <c r="AE298" s="722"/>
      <c r="AF298" s="715"/>
    </row>
    <row r="299" spans="1:32" ht="21" customHeight="1" x14ac:dyDescent="0.25">
      <c r="A299" s="32"/>
      <c r="B299" s="82"/>
      <c r="C299" s="40"/>
      <c r="D299" s="686"/>
      <c r="E299" s="687"/>
      <c r="F299" s="687"/>
      <c r="G299" s="687"/>
      <c r="H299" s="687"/>
      <c r="I299" s="687"/>
      <c r="J299" s="688"/>
      <c r="L299" s="32"/>
      <c r="M299" s="695"/>
      <c r="N299" s="696"/>
      <c r="O299" s="696"/>
      <c r="P299" s="696"/>
      <c r="Q299" s="697"/>
      <c r="S299" s="32"/>
      <c r="T299" s="704"/>
      <c r="U299" s="705"/>
      <c r="V299" s="705"/>
      <c r="W299" s="705"/>
      <c r="X299" s="706"/>
      <c r="Y299" s="709"/>
      <c r="Z299" s="29"/>
      <c r="AA299" s="32"/>
      <c r="AB299" s="716"/>
      <c r="AC299" s="717"/>
      <c r="AD299" s="717"/>
      <c r="AE299" s="717"/>
      <c r="AF299" s="718"/>
    </row>
    <row r="300" spans="1:32" ht="21" customHeight="1" x14ac:dyDescent="0.25">
      <c r="A300" s="30">
        <v>100</v>
      </c>
      <c r="B300" s="81" t="s">
        <v>461</v>
      </c>
      <c r="C300" s="26" t="s">
        <v>591</v>
      </c>
      <c r="D300" s="680" t="s">
        <v>592</v>
      </c>
      <c r="E300" s="681"/>
      <c r="F300" s="681"/>
      <c r="G300" s="681"/>
      <c r="H300" s="681"/>
      <c r="I300" s="681"/>
      <c r="J300" s="682"/>
      <c r="L300" s="30">
        <v>100</v>
      </c>
      <c r="M300" s="689" t="s">
        <v>593</v>
      </c>
      <c r="N300" s="690"/>
      <c r="O300" s="690"/>
      <c r="P300" s="690"/>
      <c r="Q300" s="691"/>
      <c r="S300" s="30">
        <v>100</v>
      </c>
      <c r="T300" s="698" t="s">
        <v>594</v>
      </c>
      <c r="U300" s="699"/>
      <c r="V300" s="699"/>
      <c r="W300" s="699"/>
      <c r="X300" s="700"/>
      <c r="Y300" s="707" t="s">
        <v>595</v>
      </c>
      <c r="AA300" s="30">
        <v>100</v>
      </c>
      <c r="AB300" s="710" t="s">
        <v>596</v>
      </c>
      <c r="AC300" s="711"/>
      <c r="AD300" s="711"/>
      <c r="AE300" s="711"/>
      <c r="AF300" s="712"/>
    </row>
    <row r="301" spans="1:32" ht="21" customHeight="1" x14ac:dyDescent="0.25">
      <c r="A301" s="31"/>
      <c r="B301" s="82"/>
      <c r="C301" s="40"/>
      <c r="D301" s="683"/>
      <c r="E301" s="719"/>
      <c r="F301" s="719"/>
      <c r="G301" s="719"/>
      <c r="H301" s="719"/>
      <c r="I301" s="719"/>
      <c r="J301" s="685"/>
      <c r="L301" s="31"/>
      <c r="M301" s="692"/>
      <c r="N301" s="720"/>
      <c r="O301" s="720"/>
      <c r="P301" s="720"/>
      <c r="Q301" s="694"/>
      <c r="S301" s="31"/>
      <c r="T301" s="701"/>
      <c r="U301" s="721"/>
      <c r="V301" s="721"/>
      <c r="W301" s="721"/>
      <c r="X301" s="703"/>
      <c r="Y301" s="708"/>
      <c r="Z301" s="29"/>
      <c r="AA301" s="31"/>
      <c r="AB301" s="713"/>
      <c r="AC301" s="722"/>
      <c r="AD301" s="722"/>
      <c r="AE301" s="722"/>
      <c r="AF301" s="715"/>
    </row>
    <row r="302" spans="1:32" ht="21" customHeight="1" x14ac:dyDescent="0.25">
      <c r="A302" s="32"/>
      <c r="B302" s="82"/>
      <c r="C302" s="40"/>
      <c r="D302" s="686"/>
      <c r="E302" s="687"/>
      <c r="F302" s="687"/>
      <c r="G302" s="687"/>
      <c r="H302" s="687"/>
      <c r="I302" s="687"/>
      <c r="J302" s="688"/>
      <c r="L302" s="32"/>
      <c r="M302" s="695"/>
      <c r="N302" s="696"/>
      <c r="O302" s="696"/>
      <c r="P302" s="696"/>
      <c r="Q302" s="697"/>
      <c r="S302" s="32"/>
      <c r="T302" s="704"/>
      <c r="U302" s="705"/>
      <c r="V302" s="705"/>
      <c r="W302" s="705"/>
      <c r="X302" s="706"/>
      <c r="Y302" s="709"/>
      <c r="Z302" s="29"/>
      <c r="AA302" s="32"/>
      <c r="AB302" s="716"/>
      <c r="AC302" s="717"/>
      <c r="AD302" s="717"/>
      <c r="AE302" s="717"/>
      <c r="AF302" s="718"/>
    </row>
    <row r="303" spans="1:32" ht="21" customHeight="1" x14ac:dyDescent="0.25">
      <c r="A303" s="30">
        <v>101</v>
      </c>
      <c r="B303" s="81" t="s">
        <v>461</v>
      </c>
      <c r="C303" s="26" t="s">
        <v>187</v>
      </c>
      <c r="D303" s="680" t="s">
        <v>597</v>
      </c>
      <c r="E303" s="681"/>
      <c r="F303" s="681"/>
      <c r="G303" s="681"/>
      <c r="H303" s="681"/>
      <c r="I303" s="681"/>
      <c r="J303" s="682"/>
      <c r="L303" s="30">
        <v>101</v>
      </c>
      <c r="M303" s="689" t="s">
        <v>598</v>
      </c>
      <c r="N303" s="690"/>
      <c r="O303" s="690"/>
      <c r="P303" s="690"/>
      <c r="Q303" s="691"/>
      <c r="S303" s="30">
        <v>101</v>
      </c>
      <c r="T303" s="698" t="s">
        <v>190</v>
      </c>
      <c r="U303" s="699"/>
      <c r="V303" s="699"/>
      <c r="W303" s="699"/>
      <c r="X303" s="700"/>
      <c r="Y303" s="707" t="s">
        <v>599</v>
      </c>
      <c r="AA303" s="30">
        <v>101</v>
      </c>
      <c r="AB303" s="710" t="s">
        <v>600</v>
      </c>
      <c r="AC303" s="711"/>
      <c r="AD303" s="711"/>
      <c r="AE303" s="711"/>
      <c r="AF303" s="712"/>
    </row>
    <row r="304" spans="1:32" ht="21" customHeight="1" x14ac:dyDescent="0.25">
      <c r="A304" s="31"/>
      <c r="B304" s="82"/>
      <c r="C304" s="40"/>
      <c r="D304" s="683"/>
      <c r="E304" s="719"/>
      <c r="F304" s="719"/>
      <c r="G304" s="719"/>
      <c r="H304" s="719"/>
      <c r="I304" s="719"/>
      <c r="J304" s="685"/>
      <c r="L304" s="31"/>
      <c r="M304" s="692"/>
      <c r="N304" s="720"/>
      <c r="O304" s="720"/>
      <c r="P304" s="720"/>
      <c r="Q304" s="694"/>
      <c r="S304" s="31"/>
      <c r="T304" s="701"/>
      <c r="U304" s="721"/>
      <c r="V304" s="721"/>
      <c r="W304" s="721"/>
      <c r="X304" s="703"/>
      <c r="Y304" s="708"/>
      <c r="Z304" s="29"/>
      <c r="AA304" s="31"/>
      <c r="AB304" s="713"/>
      <c r="AC304" s="722"/>
      <c r="AD304" s="722"/>
      <c r="AE304" s="722"/>
      <c r="AF304" s="715"/>
    </row>
    <row r="305" spans="1:32" ht="21" customHeight="1" x14ac:dyDescent="0.25">
      <c r="A305" s="32"/>
      <c r="B305" s="82"/>
      <c r="C305" s="40"/>
      <c r="D305" s="686"/>
      <c r="E305" s="687"/>
      <c r="F305" s="687"/>
      <c r="G305" s="687"/>
      <c r="H305" s="687"/>
      <c r="I305" s="687"/>
      <c r="J305" s="688"/>
      <c r="L305" s="32"/>
      <c r="M305" s="695"/>
      <c r="N305" s="696"/>
      <c r="O305" s="696"/>
      <c r="P305" s="696"/>
      <c r="Q305" s="697"/>
      <c r="S305" s="32"/>
      <c r="T305" s="704"/>
      <c r="U305" s="705"/>
      <c r="V305" s="705"/>
      <c r="W305" s="705"/>
      <c r="X305" s="706"/>
      <c r="Y305" s="709"/>
      <c r="Z305" s="29"/>
      <c r="AA305" s="32"/>
      <c r="AB305" s="716"/>
      <c r="AC305" s="717"/>
      <c r="AD305" s="717"/>
      <c r="AE305" s="717"/>
      <c r="AF305" s="718"/>
    </row>
    <row r="306" spans="1:32" ht="21" customHeight="1" x14ac:dyDescent="0.25">
      <c r="A306" s="30">
        <v>102</v>
      </c>
      <c r="B306" s="81" t="s">
        <v>461</v>
      </c>
      <c r="C306" s="26" t="s">
        <v>601</v>
      </c>
      <c r="D306" s="680" t="s">
        <v>602</v>
      </c>
      <c r="E306" s="681"/>
      <c r="F306" s="681"/>
      <c r="G306" s="681"/>
      <c r="H306" s="681"/>
      <c r="I306" s="681"/>
      <c r="J306" s="682"/>
      <c r="L306" s="30">
        <v>102</v>
      </c>
      <c r="M306" s="689" t="s">
        <v>603</v>
      </c>
      <c r="N306" s="690"/>
      <c r="O306" s="690"/>
      <c r="P306" s="690"/>
      <c r="Q306" s="691"/>
      <c r="S306" s="30">
        <v>102</v>
      </c>
      <c r="T306" s="698" t="s">
        <v>604</v>
      </c>
      <c r="U306" s="699"/>
      <c r="V306" s="699"/>
      <c r="W306" s="699"/>
      <c r="X306" s="700"/>
      <c r="Y306" s="707" t="s">
        <v>605</v>
      </c>
      <c r="AA306" s="30">
        <v>102</v>
      </c>
      <c r="AB306" s="710" t="s">
        <v>606</v>
      </c>
      <c r="AC306" s="711"/>
      <c r="AD306" s="711"/>
      <c r="AE306" s="711"/>
      <c r="AF306" s="712"/>
    </row>
    <row r="307" spans="1:32" ht="21" customHeight="1" x14ac:dyDescent="0.25">
      <c r="A307" s="31"/>
      <c r="B307" s="82"/>
      <c r="C307" s="40"/>
      <c r="D307" s="683"/>
      <c r="E307" s="719"/>
      <c r="F307" s="719"/>
      <c r="G307" s="719"/>
      <c r="H307" s="719"/>
      <c r="I307" s="719"/>
      <c r="J307" s="685"/>
      <c r="L307" s="31"/>
      <c r="M307" s="692"/>
      <c r="N307" s="720"/>
      <c r="O307" s="720"/>
      <c r="P307" s="720"/>
      <c r="Q307" s="694"/>
      <c r="S307" s="31"/>
      <c r="T307" s="701"/>
      <c r="U307" s="721"/>
      <c r="V307" s="721"/>
      <c r="W307" s="721"/>
      <c r="X307" s="703"/>
      <c r="Y307" s="708"/>
      <c r="Z307" s="29"/>
      <c r="AA307" s="31"/>
      <c r="AB307" s="713"/>
      <c r="AC307" s="722"/>
      <c r="AD307" s="722"/>
      <c r="AE307" s="722"/>
      <c r="AF307" s="715"/>
    </row>
    <row r="308" spans="1:32" ht="21" customHeight="1" x14ac:dyDescent="0.25">
      <c r="A308" s="32"/>
      <c r="B308" s="82"/>
      <c r="C308" s="40"/>
      <c r="D308" s="686"/>
      <c r="E308" s="687"/>
      <c r="F308" s="687"/>
      <c r="G308" s="687"/>
      <c r="H308" s="687"/>
      <c r="I308" s="687"/>
      <c r="J308" s="688"/>
      <c r="L308" s="32"/>
      <c r="M308" s="695"/>
      <c r="N308" s="696"/>
      <c r="O308" s="696"/>
      <c r="P308" s="696"/>
      <c r="Q308" s="697"/>
      <c r="S308" s="32"/>
      <c r="T308" s="704"/>
      <c r="U308" s="705"/>
      <c r="V308" s="705"/>
      <c r="W308" s="705"/>
      <c r="X308" s="706"/>
      <c r="Y308" s="709"/>
      <c r="Z308" s="29"/>
      <c r="AA308" s="32"/>
      <c r="AB308" s="716"/>
      <c r="AC308" s="717"/>
      <c r="AD308" s="717"/>
      <c r="AE308" s="717"/>
      <c r="AF308" s="718"/>
    </row>
    <row r="309" spans="1:32" ht="21" customHeight="1" x14ac:dyDescent="0.25">
      <c r="A309" s="30">
        <v>103</v>
      </c>
      <c r="B309" s="81" t="s">
        <v>461</v>
      </c>
      <c r="C309" s="26" t="s">
        <v>607</v>
      </c>
      <c r="D309" s="680" t="s">
        <v>608</v>
      </c>
      <c r="E309" s="681"/>
      <c r="F309" s="681"/>
      <c r="G309" s="681"/>
      <c r="H309" s="681"/>
      <c r="I309" s="681"/>
      <c r="J309" s="682"/>
      <c r="L309" s="30">
        <v>103</v>
      </c>
      <c r="M309" s="689" t="s">
        <v>67</v>
      </c>
      <c r="N309" s="690"/>
      <c r="O309" s="690"/>
      <c r="P309" s="690"/>
      <c r="Q309" s="691"/>
      <c r="S309" s="30">
        <v>103</v>
      </c>
      <c r="T309" s="698" t="s">
        <v>609</v>
      </c>
      <c r="U309" s="699"/>
      <c r="V309" s="699"/>
      <c r="W309" s="699"/>
      <c r="X309" s="700"/>
      <c r="Y309" s="707" t="s">
        <v>69</v>
      </c>
      <c r="AA309" s="30">
        <v>103</v>
      </c>
      <c r="AB309" s="710" t="s">
        <v>610</v>
      </c>
      <c r="AC309" s="711"/>
      <c r="AD309" s="711"/>
      <c r="AE309" s="711"/>
      <c r="AF309" s="712"/>
    </row>
    <row r="310" spans="1:32" ht="21" customHeight="1" x14ac:dyDescent="0.25">
      <c r="A310" s="33"/>
      <c r="B310" s="82"/>
      <c r="C310" s="40"/>
      <c r="D310" s="683"/>
      <c r="E310" s="719"/>
      <c r="F310" s="719"/>
      <c r="G310" s="719"/>
      <c r="H310" s="719"/>
      <c r="I310" s="719"/>
      <c r="J310" s="685"/>
      <c r="L310" s="33"/>
      <c r="M310" s="692"/>
      <c r="N310" s="720"/>
      <c r="O310" s="720"/>
      <c r="P310" s="720"/>
      <c r="Q310" s="694"/>
      <c r="S310" s="33"/>
      <c r="T310" s="701"/>
      <c r="U310" s="721"/>
      <c r="V310" s="721"/>
      <c r="W310" s="721"/>
      <c r="X310" s="703"/>
      <c r="Y310" s="708"/>
      <c r="Z310" s="29"/>
      <c r="AA310" s="33"/>
      <c r="AB310" s="713"/>
      <c r="AC310" s="722"/>
      <c r="AD310" s="722"/>
      <c r="AE310" s="722"/>
      <c r="AF310" s="715"/>
    </row>
    <row r="311" spans="1:32" ht="21" customHeight="1" x14ac:dyDescent="0.25">
      <c r="A311" s="32"/>
      <c r="B311" s="82"/>
      <c r="C311" s="40"/>
      <c r="D311" s="686"/>
      <c r="E311" s="687"/>
      <c r="F311" s="687"/>
      <c r="G311" s="687"/>
      <c r="H311" s="687"/>
      <c r="I311" s="687"/>
      <c r="J311" s="688"/>
      <c r="L311" s="32"/>
      <c r="M311" s="695"/>
      <c r="N311" s="696"/>
      <c r="O311" s="696"/>
      <c r="P311" s="696"/>
      <c r="Q311" s="697"/>
      <c r="S311" s="32"/>
      <c r="T311" s="704"/>
      <c r="U311" s="705"/>
      <c r="V311" s="705"/>
      <c r="W311" s="705"/>
      <c r="X311" s="706"/>
      <c r="Y311" s="709"/>
      <c r="Z311" s="29"/>
      <c r="AA311" s="32"/>
      <c r="AB311" s="716"/>
      <c r="AC311" s="717"/>
      <c r="AD311" s="717"/>
      <c r="AE311" s="717"/>
      <c r="AF311" s="718"/>
    </row>
    <row r="312" spans="1:32" ht="21" customHeight="1" x14ac:dyDescent="0.25">
      <c r="A312" s="30">
        <v>104</v>
      </c>
      <c r="B312" s="81" t="s">
        <v>461</v>
      </c>
      <c r="C312" s="26" t="s">
        <v>199</v>
      </c>
      <c r="D312" s="680" t="s">
        <v>611</v>
      </c>
      <c r="E312" s="681"/>
      <c r="F312" s="681"/>
      <c r="G312" s="681"/>
      <c r="H312" s="681"/>
      <c r="I312" s="681"/>
      <c r="J312" s="682"/>
      <c r="L312" s="30">
        <v>104</v>
      </c>
      <c r="M312" s="689" t="s">
        <v>201</v>
      </c>
      <c r="N312" s="690"/>
      <c r="O312" s="690"/>
      <c r="P312" s="690"/>
      <c r="Q312" s="691"/>
      <c r="S312" s="30">
        <v>104</v>
      </c>
      <c r="T312" s="698" t="s">
        <v>612</v>
      </c>
      <c r="U312" s="699"/>
      <c r="V312" s="699"/>
      <c r="W312" s="699"/>
      <c r="X312" s="700"/>
      <c r="Y312" s="707" t="s">
        <v>203</v>
      </c>
      <c r="AA312" s="30">
        <v>104</v>
      </c>
      <c r="AB312" s="710" t="s">
        <v>613</v>
      </c>
      <c r="AC312" s="711"/>
      <c r="AD312" s="711"/>
      <c r="AE312" s="711"/>
      <c r="AF312" s="712"/>
    </row>
    <row r="313" spans="1:32" ht="21" customHeight="1" x14ac:dyDescent="0.25">
      <c r="A313" s="33"/>
      <c r="B313" s="82"/>
      <c r="C313" s="40"/>
      <c r="D313" s="683"/>
      <c r="E313" s="719"/>
      <c r="F313" s="719"/>
      <c r="G313" s="719"/>
      <c r="H313" s="719"/>
      <c r="I313" s="719"/>
      <c r="J313" s="685"/>
      <c r="L313" s="33"/>
      <c r="M313" s="692"/>
      <c r="N313" s="720"/>
      <c r="O313" s="720"/>
      <c r="P313" s="720"/>
      <c r="Q313" s="694"/>
      <c r="S313" s="33"/>
      <c r="T313" s="701"/>
      <c r="U313" s="721"/>
      <c r="V313" s="721"/>
      <c r="W313" s="721"/>
      <c r="X313" s="703"/>
      <c r="Y313" s="708"/>
      <c r="Z313" s="29"/>
      <c r="AA313" s="33"/>
      <c r="AB313" s="713"/>
      <c r="AC313" s="722"/>
      <c r="AD313" s="722"/>
      <c r="AE313" s="722"/>
      <c r="AF313" s="715"/>
    </row>
    <row r="314" spans="1:32" ht="21" customHeight="1" x14ac:dyDescent="0.25">
      <c r="A314" s="32"/>
      <c r="B314" s="82"/>
      <c r="C314" s="40"/>
      <c r="D314" s="686"/>
      <c r="E314" s="687"/>
      <c r="F314" s="687"/>
      <c r="G314" s="687"/>
      <c r="H314" s="687"/>
      <c r="I314" s="687"/>
      <c r="J314" s="688"/>
      <c r="L314" s="32"/>
      <c r="M314" s="695"/>
      <c r="N314" s="696"/>
      <c r="O314" s="696"/>
      <c r="P314" s="696"/>
      <c r="Q314" s="697"/>
      <c r="S314" s="32"/>
      <c r="T314" s="704"/>
      <c r="U314" s="705"/>
      <c r="V314" s="705"/>
      <c r="W314" s="705"/>
      <c r="X314" s="706"/>
      <c r="Y314" s="709"/>
      <c r="Z314" s="29"/>
      <c r="AA314" s="32"/>
      <c r="AB314" s="716"/>
      <c r="AC314" s="717"/>
      <c r="AD314" s="717"/>
      <c r="AE314" s="717"/>
      <c r="AF314" s="718"/>
    </row>
    <row r="315" spans="1:32" ht="21" customHeight="1" x14ac:dyDescent="0.25">
      <c r="A315" s="30">
        <v>105</v>
      </c>
      <c r="B315" s="81" t="s">
        <v>461</v>
      </c>
      <c r="C315" s="26" t="s">
        <v>614</v>
      </c>
      <c r="D315" s="680" t="s">
        <v>615</v>
      </c>
      <c r="E315" s="681"/>
      <c r="F315" s="681"/>
      <c r="G315" s="681"/>
      <c r="H315" s="681"/>
      <c r="I315" s="681"/>
      <c r="J315" s="682"/>
      <c r="L315" s="30">
        <v>105</v>
      </c>
      <c r="M315" s="689" t="s">
        <v>616</v>
      </c>
      <c r="N315" s="690"/>
      <c r="O315" s="690"/>
      <c r="P315" s="690"/>
      <c r="Q315" s="691"/>
      <c r="S315" s="30">
        <v>105</v>
      </c>
      <c r="T315" s="698" t="s">
        <v>617</v>
      </c>
      <c r="U315" s="699"/>
      <c r="V315" s="699"/>
      <c r="W315" s="699"/>
      <c r="X315" s="700"/>
      <c r="Y315" s="707" t="s">
        <v>618</v>
      </c>
      <c r="AA315" s="30">
        <v>105</v>
      </c>
      <c r="AB315" s="710" t="s">
        <v>619</v>
      </c>
      <c r="AC315" s="711"/>
      <c r="AD315" s="711"/>
      <c r="AE315" s="711"/>
      <c r="AF315" s="712"/>
    </row>
    <row r="316" spans="1:32" ht="21" customHeight="1" x14ac:dyDescent="0.25">
      <c r="A316" s="33"/>
      <c r="B316" s="82"/>
      <c r="C316" s="40"/>
      <c r="D316" s="683"/>
      <c r="E316" s="719"/>
      <c r="F316" s="719"/>
      <c r="G316" s="719"/>
      <c r="H316" s="719"/>
      <c r="I316" s="719"/>
      <c r="J316" s="685"/>
      <c r="L316" s="33"/>
      <c r="M316" s="692"/>
      <c r="N316" s="720"/>
      <c r="O316" s="720"/>
      <c r="P316" s="720"/>
      <c r="Q316" s="694"/>
      <c r="S316" s="33"/>
      <c r="T316" s="701"/>
      <c r="U316" s="721"/>
      <c r="V316" s="721"/>
      <c r="W316" s="721"/>
      <c r="X316" s="703"/>
      <c r="Y316" s="708"/>
      <c r="Z316" s="29"/>
      <c r="AA316" s="33"/>
      <c r="AB316" s="713"/>
      <c r="AC316" s="722"/>
      <c r="AD316" s="722"/>
      <c r="AE316" s="722"/>
      <c r="AF316" s="715"/>
    </row>
    <row r="317" spans="1:32" ht="21" customHeight="1" x14ac:dyDescent="0.25">
      <c r="A317" s="32"/>
      <c r="B317" s="82"/>
      <c r="C317" s="40"/>
      <c r="D317" s="686"/>
      <c r="E317" s="687"/>
      <c r="F317" s="687"/>
      <c r="G317" s="687"/>
      <c r="H317" s="687"/>
      <c r="I317" s="687"/>
      <c r="J317" s="688"/>
      <c r="L317" s="32"/>
      <c r="M317" s="695"/>
      <c r="N317" s="696"/>
      <c r="O317" s="696"/>
      <c r="P317" s="696"/>
      <c r="Q317" s="697"/>
      <c r="S317" s="32"/>
      <c r="T317" s="704"/>
      <c r="U317" s="705"/>
      <c r="V317" s="705"/>
      <c r="W317" s="705"/>
      <c r="X317" s="706"/>
      <c r="Y317" s="709"/>
      <c r="Z317" s="29"/>
      <c r="AA317" s="32"/>
      <c r="AB317" s="716"/>
      <c r="AC317" s="717"/>
      <c r="AD317" s="717"/>
      <c r="AE317" s="717"/>
      <c r="AF317" s="718"/>
    </row>
    <row r="318" spans="1:32" ht="21" customHeight="1" x14ac:dyDescent="0.25">
      <c r="A318" s="30">
        <v>106</v>
      </c>
      <c r="B318" s="81" t="s">
        <v>461</v>
      </c>
      <c r="C318" s="26" t="s">
        <v>620</v>
      </c>
      <c r="D318" s="680" t="s">
        <v>621</v>
      </c>
      <c r="E318" s="681"/>
      <c r="F318" s="681"/>
      <c r="G318" s="681"/>
      <c r="H318" s="681"/>
      <c r="I318" s="681"/>
      <c r="J318" s="682"/>
      <c r="L318" s="30">
        <v>106</v>
      </c>
      <c r="M318" s="689" t="s">
        <v>622</v>
      </c>
      <c r="N318" s="690"/>
      <c r="O318" s="690"/>
      <c r="P318" s="690"/>
      <c r="Q318" s="691"/>
      <c r="S318" s="30">
        <v>106</v>
      </c>
      <c r="T318" s="698" t="s">
        <v>623</v>
      </c>
      <c r="U318" s="699"/>
      <c r="V318" s="699"/>
      <c r="W318" s="699"/>
      <c r="X318" s="700"/>
      <c r="Y318" s="707" t="s">
        <v>624</v>
      </c>
      <c r="AA318" s="30">
        <v>106</v>
      </c>
      <c r="AB318" s="710" t="s">
        <v>625</v>
      </c>
      <c r="AC318" s="711"/>
      <c r="AD318" s="711"/>
      <c r="AE318" s="711"/>
      <c r="AF318" s="712"/>
    </row>
    <row r="319" spans="1:32" ht="21" customHeight="1" x14ac:dyDescent="0.25">
      <c r="A319" s="33"/>
      <c r="B319" s="82"/>
      <c r="C319" s="40"/>
      <c r="D319" s="683"/>
      <c r="E319" s="719"/>
      <c r="F319" s="719"/>
      <c r="G319" s="719"/>
      <c r="H319" s="719"/>
      <c r="I319" s="719"/>
      <c r="J319" s="685"/>
      <c r="L319" s="33"/>
      <c r="M319" s="692"/>
      <c r="N319" s="720"/>
      <c r="O319" s="720"/>
      <c r="P319" s="720"/>
      <c r="Q319" s="694"/>
      <c r="S319" s="33"/>
      <c r="T319" s="701"/>
      <c r="U319" s="721"/>
      <c r="V319" s="721"/>
      <c r="W319" s="721"/>
      <c r="X319" s="703"/>
      <c r="Y319" s="708"/>
      <c r="Z319" s="29"/>
      <c r="AA319" s="33"/>
      <c r="AB319" s="713"/>
      <c r="AC319" s="722"/>
      <c r="AD319" s="722"/>
      <c r="AE319" s="722"/>
      <c r="AF319" s="715"/>
    </row>
    <row r="320" spans="1:32" ht="21" customHeight="1" x14ac:dyDescent="0.25">
      <c r="A320" s="32"/>
      <c r="B320" s="82"/>
      <c r="C320" s="40"/>
      <c r="D320" s="686"/>
      <c r="E320" s="687"/>
      <c r="F320" s="687"/>
      <c r="G320" s="687"/>
      <c r="H320" s="687"/>
      <c r="I320" s="687"/>
      <c r="J320" s="688"/>
      <c r="L320" s="32"/>
      <c r="M320" s="695"/>
      <c r="N320" s="696"/>
      <c r="O320" s="696"/>
      <c r="P320" s="696"/>
      <c r="Q320" s="697"/>
      <c r="S320" s="32"/>
      <c r="T320" s="704"/>
      <c r="U320" s="705"/>
      <c r="V320" s="705"/>
      <c r="W320" s="705"/>
      <c r="X320" s="706"/>
      <c r="Y320" s="709"/>
      <c r="Z320" s="29"/>
      <c r="AA320" s="32"/>
      <c r="AB320" s="716"/>
      <c r="AC320" s="717"/>
      <c r="AD320" s="717"/>
      <c r="AE320" s="717"/>
      <c r="AF320" s="718"/>
    </row>
    <row r="321" spans="1:32" ht="21" customHeight="1" x14ac:dyDescent="0.25">
      <c r="A321" s="30">
        <v>107</v>
      </c>
      <c r="B321" s="81" t="s">
        <v>487</v>
      </c>
      <c r="C321" s="26" t="s">
        <v>225</v>
      </c>
      <c r="D321" s="680" t="s">
        <v>626</v>
      </c>
      <c r="E321" s="681"/>
      <c r="F321" s="681"/>
      <c r="G321" s="681"/>
      <c r="H321" s="681"/>
      <c r="I321" s="681"/>
      <c r="J321" s="682"/>
      <c r="L321" s="30">
        <v>107</v>
      </c>
      <c r="M321" s="689" t="s">
        <v>627</v>
      </c>
      <c r="N321" s="690"/>
      <c r="O321" s="690"/>
      <c r="P321" s="690"/>
      <c r="Q321" s="691"/>
      <c r="S321" s="30">
        <v>107</v>
      </c>
      <c r="T321" s="698" t="s">
        <v>228</v>
      </c>
      <c r="U321" s="699"/>
      <c r="V321" s="699"/>
      <c r="W321" s="699"/>
      <c r="X321" s="700"/>
      <c r="Y321" s="707" t="s">
        <v>628</v>
      </c>
      <c r="AA321" s="30">
        <v>107</v>
      </c>
      <c r="AB321" s="710" t="s">
        <v>629</v>
      </c>
      <c r="AC321" s="711"/>
      <c r="AD321" s="711"/>
      <c r="AE321" s="711"/>
      <c r="AF321" s="712"/>
    </row>
    <row r="322" spans="1:32" ht="21" customHeight="1" x14ac:dyDescent="0.25">
      <c r="A322" s="33"/>
      <c r="B322" s="82"/>
      <c r="C322" s="40"/>
      <c r="D322" s="683"/>
      <c r="E322" s="719"/>
      <c r="F322" s="719"/>
      <c r="G322" s="719"/>
      <c r="H322" s="719"/>
      <c r="I322" s="719"/>
      <c r="J322" s="685"/>
      <c r="L322" s="33"/>
      <c r="M322" s="692"/>
      <c r="N322" s="720"/>
      <c r="O322" s="720"/>
      <c r="P322" s="720"/>
      <c r="Q322" s="694"/>
      <c r="S322" s="33"/>
      <c r="T322" s="701"/>
      <c r="U322" s="721"/>
      <c r="V322" s="721"/>
      <c r="W322" s="721"/>
      <c r="X322" s="703"/>
      <c r="Y322" s="708"/>
      <c r="Z322" s="29"/>
      <c r="AA322" s="33"/>
      <c r="AB322" s="713"/>
      <c r="AC322" s="722"/>
      <c r="AD322" s="722"/>
      <c r="AE322" s="722"/>
      <c r="AF322" s="715"/>
    </row>
    <row r="323" spans="1:32" ht="21" customHeight="1" x14ac:dyDescent="0.25">
      <c r="A323" s="32"/>
      <c r="B323" s="82"/>
      <c r="C323" s="40"/>
      <c r="D323" s="686"/>
      <c r="E323" s="687"/>
      <c r="F323" s="687"/>
      <c r="G323" s="687"/>
      <c r="H323" s="687"/>
      <c r="I323" s="687"/>
      <c r="J323" s="688"/>
      <c r="L323" s="32"/>
      <c r="M323" s="695"/>
      <c r="N323" s="696"/>
      <c r="O323" s="696"/>
      <c r="P323" s="696"/>
      <c r="Q323" s="697"/>
      <c r="S323" s="32"/>
      <c r="T323" s="704"/>
      <c r="U323" s="705"/>
      <c r="V323" s="705"/>
      <c r="W323" s="705"/>
      <c r="X323" s="706"/>
      <c r="Y323" s="709"/>
      <c r="Z323" s="29"/>
      <c r="AA323" s="32"/>
      <c r="AB323" s="716"/>
      <c r="AC323" s="717"/>
      <c r="AD323" s="717"/>
      <c r="AE323" s="717"/>
      <c r="AF323" s="718"/>
    </row>
    <row r="324" spans="1:32" ht="21" customHeight="1" x14ac:dyDescent="0.25">
      <c r="A324" s="30">
        <v>108</v>
      </c>
      <c r="B324" s="81" t="s">
        <v>461</v>
      </c>
      <c r="C324" s="26" t="s">
        <v>630</v>
      </c>
      <c r="D324" s="680" t="s">
        <v>631</v>
      </c>
      <c r="E324" s="681"/>
      <c r="F324" s="681"/>
      <c r="G324" s="681"/>
      <c r="H324" s="681"/>
      <c r="I324" s="681"/>
      <c r="J324" s="682"/>
      <c r="L324" s="30">
        <v>108</v>
      </c>
      <c r="M324" s="689" t="s">
        <v>263</v>
      </c>
      <c r="N324" s="690"/>
      <c r="O324" s="690"/>
      <c r="P324" s="690"/>
      <c r="Q324" s="691"/>
      <c r="S324" s="30">
        <v>108</v>
      </c>
      <c r="T324" s="698" t="s">
        <v>632</v>
      </c>
      <c r="U324" s="699"/>
      <c r="V324" s="699"/>
      <c r="W324" s="699"/>
      <c r="X324" s="700"/>
      <c r="Y324" s="707" t="s">
        <v>265</v>
      </c>
      <c r="AA324" s="30">
        <v>108</v>
      </c>
      <c r="AB324" s="710" t="s">
        <v>633</v>
      </c>
      <c r="AC324" s="711"/>
      <c r="AD324" s="711"/>
      <c r="AE324" s="711"/>
      <c r="AF324" s="712"/>
    </row>
    <row r="325" spans="1:32" ht="21" customHeight="1" x14ac:dyDescent="0.25">
      <c r="A325" s="33"/>
      <c r="B325" s="82"/>
      <c r="C325" s="40"/>
      <c r="D325" s="683"/>
      <c r="E325" s="719"/>
      <c r="F325" s="719"/>
      <c r="G325" s="719"/>
      <c r="H325" s="719"/>
      <c r="I325" s="719"/>
      <c r="J325" s="685"/>
      <c r="L325" s="33"/>
      <c r="M325" s="692"/>
      <c r="N325" s="720"/>
      <c r="O325" s="720"/>
      <c r="P325" s="720"/>
      <c r="Q325" s="694"/>
      <c r="S325" s="33"/>
      <c r="T325" s="701"/>
      <c r="U325" s="721"/>
      <c r="V325" s="721"/>
      <c r="W325" s="721"/>
      <c r="X325" s="703"/>
      <c r="Y325" s="708"/>
      <c r="Z325" s="29"/>
      <c r="AA325" s="33"/>
      <c r="AB325" s="713"/>
      <c r="AC325" s="722"/>
      <c r="AD325" s="722"/>
      <c r="AE325" s="722"/>
      <c r="AF325" s="715"/>
    </row>
    <row r="326" spans="1:32" ht="21" customHeight="1" x14ac:dyDescent="0.25">
      <c r="A326" s="32"/>
      <c r="B326" s="82"/>
      <c r="C326" s="40"/>
      <c r="D326" s="686"/>
      <c r="E326" s="687"/>
      <c r="F326" s="687"/>
      <c r="G326" s="687"/>
      <c r="H326" s="687"/>
      <c r="I326" s="687"/>
      <c r="J326" s="688"/>
      <c r="L326" s="32"/>
      <c r="M326" s="695"/>
      <c r="N326" s="696"/>
      <c r="O326" s="696"/>
      <c r="P326" s="696"/>
      <c r="Q326" s="697"/>
      <c r="S326" s="32"/>
      <c r="T326" s="704"/>
      <c r="U326" s="705"/>
      <c r="V326" s="705"/>
      <c r="W326" s="705"/>
      <c r="X326" s="706"/>
      <c r="Y326" s="709"/>
      <c r="Z326" s="29"/>
      <c r="AA326" s="32"/>
      <c r="AB326" s="716"/>
      <c r="AC326" s="717"/>
      <c r="AD326" s="717"/>
      <c r="AE326" s="717"/>
      <c r="AF326" s="718"/>
    </row>
    <row r="327" spans="1:32" ht="21" customHeight="1" x14ac:dyDescent="0.25">
      <c r="A327" s="30">
        <v>109</v>
      </c>
      <c r="B327" s="81" t="s">
        <v>461</v>
      </c>
      <c r="C327" s="26" t="s">
        <v>634</v>
      </c>
      <c r="D327" s="680" t="s">
        <v>635</v>
      </c>
      <c r="E327" s="681"/>
      <c r="F327" s="681"/>
      <c r="G327" s="681"/>
      <c r="H327" s="681"/>
      <c r="I327" s="681"/>
      <c r="J327" s="682"/>
      <c r="L327" s="30">
        <v>109</v>
      </c>
      <c r="M327" s="689" t="s">
        <v>636</v>
      </c>
      <c r="N327" s="690"/>
      <c r="O327" s="690"/>
      <c r="P327" s="690"/>
      <c r="Q327" s="691"/>
      <c r="S327" s="30">
        <v>109</v>
      </c>
      <c r="T327" s="698" t="s">
        <v>637</v>
      </c>
      <c r="U327" s="699"/>
      <c r="V327" s="699"/>
      <c r="W327" s="699"/>
      <c r="X327" s="700"/>
      <c r="Y327" s="707" t="s">
        <v>638</v>
      </c>
      <c r="AA327" s="30">
        <v>109</v>
      </c>
      <c r="AB327" s="710" t="s">
        <v>639</v>
      </c>
      <c r="AC327" s="711"/>
      <c r="AD327" s="711"/>
      <c r="AE327" s="711"/>
      <c r="AF327" s="712"/>
    </row>
    <row r="328" spans="1:32" ht="21" customHeight="1" x14ac:dyDescent="0.25">
      <c r="A328" s="33"/>
      <c r="B328" s="82"/>
      <c r="C328" s="40"/>
      <c r="D328" s="683"/>
      <c r="E328" s="719"/>
      <c r="F328" s="719"/>
      <c r="G328" s="719"/>
      <c r="H328" s="719"/>
      <c r="I328" s="719"/>
      <c r="J328" s="685"/>
      <c r="L328" s="33"/>
      <c r="M328" s="692"/>
      <c r="N328" s="720"/>
      <c r="O328" s="720"/>
      <c r="P328" s="720"/>
      <c r="Q328" s="694"/>
      <c r="S328" s="33"/>
      <c r="T328" s="701"/>
      <c r="U328" s="721"/>
      <c r="V328" s="721"/>
      <c r="W328" s="721"/>
      <c r="X328" s="703"/>
      <c r="Y328" s="708"/>
      <c r="Z328" s="29"/>
      <c r="AA328" s="33"/>
      <c r="AB328" s="713"/>
      <c r="AC328" s="722"/>
      <c r="AD328" s="722"/>
      <c r="AE328" s="722"/>
      <c r="AF328" s="715"/>
    </row>
    <row r="329" spans="1:32" ht="21" customHeight="1" x14ac:dyDescent="0.25">
      <c r="A329" s="32"/>
      <c r="B329" s="82"/>
      <c r="C329" s="40"/>
      <c r="D329" s="686"/>
      <c r="E329" s="687"/>
      <c r="F329" s="687"/>
      <c r="G329" s="687"/>
      <c r="H329" s="687"/>
      <c r="I329" s="687"/>
      <c r="J329" s="688"/>
      <c r="L329" s="32"/>
      <c r="M329" s="695"/>
      <c r="N329" s="696"/>
      <c r="O329" s="696"/>
      <c r="P329" s="696"/>
      <c r="Q329" s="697"/>
      <c r="S329" s="32"/>
      <c r="T329" s="704"/>
      <c r="U329" s="705"/>
      <c r="V329" s="705"/>
      <c r="W329" s="705"/>
      <c r="X329" s="706"/>
      <c r="Y329" s="709"/>
      <c r="Z329" s="29"/>
      <c r="AA329" s="32"/>
      <c r="AB329" s="716"/>
      <c r="AC329" s="717"/>
      <c r="AD329" s="717"/>
      <c r="AE329" s="717"/>
      <c r="AF329" s="718"/>
    </row>
    <row r="330" spans="1:32" ht="21" customHeight="1" x14ac:dyDescent="0.25">
      <c r="A330" s="30">
        <v>110</v>
      </c>
      <c r="B330" s="81" t="s">
        <v>461</v>
      </c>
      <c r="C330" s="26" t="s">
        <v>237</v>
      </c>
      <c r="D330" s="680" t="s">
        <v>640</v>
      </c>
      <c r="E330" s="681"/>
      <c r="F330" s="681"/>
      <c r="G330" s="681"/>
      <c r="H330" s="681"/>
      <c r="I330" s="681"/>
      <c r="J330" s="682"/>
      <c r="L330" s="30">
        <v>110</v>
      </c>
      <c r="M330" s="689" t="s">
        <v>221</v>
      </c>
      <c r="N330" s="690"/>
      <c r="O330" s="690"/>
      <c r="P330" s="690"/>
      <c r="Q330" s="691"/>
      <c r="S330" s="30">
        <v>110</v>
      </c>
      <c r="T330" s="698" t="s">
        <v>240</v>
      </c>
      <c r="U330" s="699"/>
      <c r="V330" s="699"/>
      <c r="W330" s="699"/>
      <c r="X330" s="700"/>
      <c r="Y330" s="707" t="s">
        <v>223</v>
      </c>
      <c r="AA330" s="30">
        <v>110</v>
      </c>
      <c r="AB330" s="710" t="s">
        <v>641</v>
      </c>
      <c r="AC330" s="711"/>
      <c r="AD330" s="711"/>
      <c r="AE330" s="711"/>
      <c r="AF330" s="712"/>
    </row>
    <row r="331" spans="1:32" ht="21" customHeight="1" x14ac:dyDescent="0.25">
      <c r="A331" s="33"/>
      <c r="B331" s="82"/>
      <c r="C331" s="40"/>
      <c r="D331" s="683"/>
      <c r="E331" s="719"/>
      <c r="F331" s="719"/>
      <c r="G331" s="719"/>
      <c r="H331" s="719"/>
      <c r="I331" s="719"/>
      <c r="J331" s="685"/>
      <c r="L331" s="33"/>
      <c r="M331" s="692"/>
      <c r="N331" s="720"/>
      <c r="O331" s="720"/>
      <c r="P331" s="720"/>
      <c r="Q331" s="694"/>
      <c r="S331" s="33"/>
      <c r="T331" s="701"/>
      <c r="U331" s="721"/>
      <c r="V331" s="721"/>
      <c r="W331" s="721"/>
      <c r="X331" s="703"/>
      <c r="Y331" s="708"/>
      <c r="Z331" s="29"/>
      <c r="AA331" s="33"/>
      <c r="AB331" s="713"/>
      <c r="AC331" s="722"/>
      <c r="AD331" s="722"/>
      <c r="AE331" s="722"/>
      <c r="AF331" s="715"/>
    </row>
    <row r="332" spans="1:32" ht="21" customHeight="1" x14ac:dyDescent="0.25">
      <c r="A332" s="32"/>
      <c r="B332" s="82"/>
      <c r="C332" s="40"/>
      <c r="D332" s="686"/>
      <c r="E332" s="687"/>
      <c r="F332" s="687"/>
      <c r="G332" s="687"/>
      <c r="H332" s="687"/>
      <c r="I332" s="687"/>
      <c r="J332" s="688"/>
      <c r="L332" s="32"/>
      <c r="M332" s="695"/>
      <c r="N332" s="696"/>
      <c r="O332" s="696"/>
      <c r="P332" s="696"/>
      <c r="Q332" s="697"/>
      <c r="S332" s="32"/>
      <c r="T332" s="704"/>
      <c r="U332" s="705"/>
      <c r="V332" s="705"/>
      <c r="W332" s="705"/>
      <c r="X332" s="706"/>
      <c r="Y332" s="709"/>
      <c r="Z332" s="29"/>
      <c r="AA332" s="32"/>
      <c r="AB332" s="716"/>
      <c r="AC332" s="717"/>
      <c r="AD332" s="717"/>
      <c r="AE332" s="717"/>
      <c r="AF332" s="718"/>
    </row>
    <row r="333" spans="1:32" ht="21" customHeight="1" x14ac:dyDescent="0.25">
      <c r="A333" s="30">
        <v>111</v>
      </c>
      <c r="B333" s="81" t="s">
        <v>461</v>
      </c>
      <c r="C333" s="26" t="s">
        <v>642</v>
      </c>
      <c r="D333" s="680" t="s">
        <v>643</v>
      </c>
      <c r="E333" s="681"/>
      <c r="F333" s="681"/>
      <c r="G333" s="681"/>
      <c r="H333" s="681"/>
      <c r="I333" s="681"/>
      <c r="J333" s="682"/>
      <c r="L333" s="30">
        <v>111</v>
      </c>
      <c r="M333" s="689" t="s">
        <v>644</v>
      </c>
      <c r="N333" s="690"/>
      <c r="O333" s="690"/>
      <c r="P333" s="690"/>
      <c r="Q333" s="691"/>
      <c r="S333" s="30">
        <v>111</v>
      </c>
      <c r="T333" s="698" t="s">
        <v>645</v>
      </c>
      <c r="U333" s="699"/>
      <c r="V333" s="699"/>
      <c r="W333" s="699"/>
      <c r="X333" s="700"/>
      <c r="Y333" s="707" t="s">
        <v>646</v>
      </c>
      <c r="AA333" s="30">
        <v>111</v>
      </c>
      <c r="AB333" s="710" t="s">
        <v>647</v>
      </c>
      <c r="AC333" s="711"/>
      <c r="AD333" s="711"/>
      <c r="AE333" s="711"/>
      <c r="AF333" s="712"/>
    </row>
    <row r="334" spans="1:32" ht="21" customHeight="1" x14ac:dyDescent="0.25">
      <c r="A334" s="33"/>
      <c r="B334" s="82"/>
      <c r="C334" s="40"/>
      <c r="D334" s="683"/>
      <c r="E334" s="719"/>
      <c r="F334" s="719"/>
      <c r="G334" s="719"/>
      <c r="H334" s="719"/>
      <c r="I334" s="719"/>
      <c r="J334" s="685"/>
      <c r="L334" s="33"/>
      <c r="M334" s="692"/>
      <c r="N334" s="720"/>
      <c r="O334" s="720"/>
      <c r="P334" s="720"/>
      <c r="Q334" s="694"/>
      <c r="S334" s="33"/>
      <c r="T334" s="701"/>
      <c r="U334" s="721"/>
      <c r="V334" s="721"/>
      <c r="W334" s="721"/>
      <c r="X334" s="703"/>
      <c r="Y334" s="708"/>
      <c r="Z334" s="29"/>
      <c r="AA334" s="33"/>
      <c r="AB334" s="713"/>
      <c r="AC334" s="722"/>
      <c r="AD334" s="722"/>
      <c r="AE334" s="722"/>
      <c r="AF334" s="715"/>
    </row>
    <row r="335" spans="1:32" ht="21" customHeight="1" x14ac:dyDescent="0.25">
      <c r="A335" s="32"/>
      <c r="B335" s="82"/>
      <c r="C335" s="40"/>
      <c r="D335" s="686"/>
      <c r="E335" s="687"/>
      <c r="F335" s="687"/>
      <c r="G335" s="687"/>
      <c r="H335" s="687"/>
      <c r="I335" s="687"/>
      <c r="J335" s="688"/>
      <c r="L335" s="32"/>
      <c r="M335" s="695"/>
      <c r="N335" s="696"/>
      <c r="O335" s="696"/>
      <c r="P335" s="696"/>
      <c r="Q335" s="697"/>
      <c r="S335" s="32"/>
      <c r="T335" s="704"/>
      <c r="U335" s="705"/>
      <c r="V335" s="705"/>
      <c r="W335" s="705"/>
      <c r="X335" s="706"/>
      <c r="Y335" s="709"/>
      <c r="Z335" s="29"/>
      <c r="AA335" s="32"/>
      <c r="AB335" s="716"/>
      <c r="AC335" s="717"/>
      <c r="AD335" s="717"/>
      <c r="AE335" s="717"/>
      <c r="AF335" s="718"/>
    </row>
    <row r="336" spans="1:32" ht="21" customHeight="1" x14ac:dyDescent="0.25">
      <c r="A336" s="30">
        <v>112</v>
      </c>
      <c r="B336" s="81" t="s">
        <v>461</v>
      </c>
      <c r="C336" s="26" t="s">
        <v>648</v>
      </c>
      <c r="D336" s="680" t="s">
        <v>649</v>
      </c>
      <c r="E336" s="681"/>
      <c r="F336" s="681"/>
      <c r="G336" s="681"/>
      <c r="H336" s="681"/>
      <c r="I336" s="681"/>
      <c r="J336" s="682"/>
      <c r="L336" s="30">
        <v>112</v>
      </c>
      <c r="M336" s="689" t="s">
        <v>650</v>
      </c>
      <c r="N336" s="690"/>
      <c r="O336" s="690"/>
      <c r="P336" s="690"/>
      <c r="Q336" s="691"/>
      <c r="S336" s="30">
        <v>112</v>
      </c>
      <c r="T336" s="698" t="s">
        <v>651</v>
      </c>
      <c r="U336" s="699"/>
      <c r="V336" s="699"/>
      <c r="W336" s="699"/>
      <c r="X336" s="700"/>
      <c r="Y336" s="707" t="s">
        <v>652</v>
      </c>
      <c r="AA336" s="30">
        <v>112</v>
      </c>
      <c r="AB336" s="710" t="s">
        <v>653</v>
      </c>
      <c r="AC336" s="711"/>
      <c r="AD336" s="711"/>
      <c r="AE336" s="711"/>
      <c r="AF336" s="712"/>
    </row>
    <row r="337" spans="1:32" ht="21" customHeight="1" x14ac:dyDescent="0.25">
      <c r="A337" s="33"/>
      <c r="B337" s="82"/>
      <c r="C337" s="40"/>
      <c r="D337" s="683"/>
      <c r="E337" s="719"/>
      <c r="F337" s="719"/>
      <c r="G337" s="719"/>
      <c r="H337" s="719"/>
      <c r="I337" s="719"/>
      <c r="J337" s="685"/>
      <c r="L337" s="33"/>
      <c r="M337" s="692"/>
      <c r="N337" s="720"/>
      <c r="O337" s="720"/>
      <c r="P337" s="720"/>
      <c r="Q337" s="694"/>
      <c r="S337" s="33"/>
      <c r="T337" s="701"/>
      <c r="U337" s="721"/>
      <c r="V337" s="721"/>
      <c r="W337" s="721"/>
      <c r="X337" s="703"/>
      <c r="Y337" s="708"/>
      <c r="Z337" s="29"/>
      <c r="AA337" s="33"/>
      <c r="AB337" s="713"/>
      <c r="AC337" s="722"/>
      <c r="AD337" s="722"/>
      <c r="AE337" s="722"/>
      <c r="AF337" s="715"/>
    </row>
    <row r="338" spans="1:32" ht="21" customHeight="1" x14ac:dyDescent="0.25">
      <c r="A338" s="32"/>
      <c r="B338" s="82"/>
      <c r="C338" s="40"/>
      <c r="D338" s="686"/>
      <c r="E338" s="687"/>
      <c r="F338" s="687"/>
      <c r="G338" s="687"/>
      <c r="H338" s="687"/>
      <c r="I338" s="687"/>
      <c r="J338" s="688"/>
      <c r="L338" s="32"/>
      <c r="M338" s="695"/>
      <c r="N338" s="696"/>
      <c r="O338" s="696"/>
      <c r="P338" s="696"/>
      <c r="Q338" s="697"/>
      <c r="S338" s="32"/>
      <c r="T338" s="704"/>
      <c r="U338" s="705"/>
      <c r="V338" s="705"/>
      <c r="W338" s="705"/>
      <c r="X338" s="706"/>
      <c r="Y338" s="709"/>
      <c r="Z338" s="29"/>
      <c r="AA338" s="32"/>
      <c r="AB338" s="716"/>
      <c r="AC338" s="717"/>
      <c r="AD338" s="717"/>
      <c r="AE338" s="717"/>
      <c r="AF338" s="718"/>
    </row>
    <row r="339" spans="1:32" ht="21" customHeight="1" x14ac:dyDescent="0.25">
      <c r="A339" s="30">
        <v>113</v>
      </c>
      <c r="B339" s="81" t="s">
        <v>461</v>
      </c>
      <c r="C339" s="26" t="s">
        <v>654</v>
      </c>
      <c r="D339" s="680" t="s">
        <v>655</v>
      </c>
      <c r="E339" s="681"/>
      <c r="F339" s="681"/>
      <c r="G339" s="681"/>
      <c r="H339" s="681"/>
      <c r="I339" s="681"/>
      <c r="J339" s="682"/>
      <c r="L339" s="30">
        <v>113</v>
      </c>
      <c r="M339" s="689" t="s">
        <v>656</v>
      </c>
      <c r="N339" s="690"/>
      <c r="O339" s="690"/>
      <c r="P339" s="690"/>
      <c r="Q339" s="691"/>
      <c r="S339" s="30">
        <v>113</v>
      </c>
      <c r="T339" s="698" t="s">
        <v>657</v>
      </c>
      <c r="U339" s="699"/>
      <c r="V339" s="699"/>
      <c r="W339" s="699"/>
      <c r="X339" s="700"/>
      <c r="Y339" s="707" t="s">
        <v>658</v>
      </c>
      <c r="AA339" s="30">
        <v>113</v>
      </c>
      <c r="AB339" s="710" t="s">
        <v>659</v>
      </c>
      <c r="AC339" s="711"/>
      <c r="AD339" s="711"/>
      <c r="AE339" s="711"/>
      <c r="AF339" s="712"/>
    </row>
    <row r="340" spans="1:32" ht="21" customHeight="1" x14ac:dyDescent="0.25">
      <c r="A340" s="33"/>
      <c r="B340" s="82"/>
      <c r="C340" s="40"/>
      <c r="D340" s="683"/>
      <c r="E340" s="719"/>
      <c r="F340" s="719"/>
      <c r="G340" s="719"/>
      <c r="H340" s="719"/>
      <c r="I340" s="719"/>
      <c r="J340" s="685"/>
      <c r="L340" s="33"/>
      <c r="M340" s="692"/>
      <c r="N340" s="720"/>
      <c r="O340" s="720"/>
      <c r="P340" s="720"/>
      <c r="Q340" s="694"/>
      <c r="S340" s="33"/>
      <c r="T340" s="701"/>
      <c r="U340" s="721"/>
      <c r="V340" s="721"/>
      <c r="W340" s="721"/>
      <c r="X340" s="703"/>
      <c r="Y340" s="708"/>
      <c r="Z340" s="29"/>
      <c r="AA340" s="33"/>
      <c r="AB340" s="713"/>
      <c r="AC340" s="722"/>
      <c r="AD340" s="722"/>
      <c r="AE340" s="722"/>
      <c r="AF340" s="715"/>
    </row>
    <row r="341" spans="1:32" ht="21" customHeight="1" x14ac:dyDescent="0.25">
      <c r="A341" s="32"/>
      <c r="B341" s="82"/>
      <c r="C341" s="40"/>
      <c r="D341" s="686"/>
      <c r="E341" s="687"/>
      <c r="F341" s="687"/>
      <c r="G341" s="687"/>
      <c r="H341" s="687"/>
      <c r="I341" s="687"/>
      <c r="J341" s="688"/>
      <c r="L341" s="32"/>
      <c r="M341" s="695"/>
      <c r="N341" s="696"/>
      <c r="O341" s="696"/>
      <c r="P341" s="696"/>
      <c r="Q341" s="697"/>
      <c r="S341" s="32"/>
      <c r="T341" s="704"/>
      <c r="U341" s="705"/>
      <c r="V341" s="705"/>
      <c r="W341" s="705"/>
      <c r="X341" s="706"/>
      <c r="Y341" s="709"/>
      <c r="Z341" s="29"/>
      <c r="AA341" s="32"/>
      <c r="AB341" s="716"/>
      <c r="AC341" s="717"/>
      <c r="AD341" s="717"/>
      <c r="AE341" s="717"/>
      <c r="AF341" s="718"/>
    </row>
    <row r="342" spans="1:32" ht="21" customHeight="1" x14ac:dyDescent="0.25">
      <c r="A342" s="30">
        <v>114</v>
      </c>
      <c r="B342" s="81" t="s">
        <v>461</v>
      </c>
      <c r="C342" s="26" t="s">
        <v>660</v>
      </c>
      <c r="D342" s="680" t="s">
        <v>661</v>
      </c>
      <c r="E342" s="681"/>
      <c r="F342" s="681"/>
      <c r="G342" s="681"/>
      <c r="H342" s="681"/>
      <c r="I342" s="681"/>
      <c r="J342" s="682"/>
      <c r="L342" s="30">
        <v>114</v>
      </c>
      <c r="M342" s="689" t="s">
        <v>662</v>
      </c>
      <c r="N342" s="690"/>
      <c r="O342" s="690"/>
      <c r="P342" s="690"/>
      <c r="Q342" s="691"/>
      <c r="S342" s="30">
        <v>114</v>
      </c>
      <c r="T342" s="698" t="s">
        <v>663</v>
      </c>
      <c r="U342" s="699"/>
      <c r="V342" s="699"/>
      <c r="W342" s="699"/>
      <c r="X342" s="700"/>
      <c r="Y342" s="707" t="s">
        <v>664</v>
      </c>
      <c r="AA342" s="30">
        <v>114</v>
      </c>
      <c r="AB342" s="710" t="s">
        <v>665</v>
      </c>
      <c r="AC342" s="711"/>
      <c r="AD342" s="711"/>
      <c r="AE342" s="711"/>
      <c r="AF342" s="712"/>
    </row>
    <row r="343" spans="1:32" ht="21" customHeight="1" x14ac:dyDescent="0.25">
      <c r="A343" s="33"/>
      <c r="B343" s="82"/>
      <c r="C343" s="40"/>
      <c r="D343" s="683"/>
      <c r="E343" s="719"/>
      <c r="F343" s="719"/>
      <c r="G343" s="719"/>
      <c r="H343" s="719"/>
      <c r="I343" s="719"/>
      <c r="J343" s="685"/>
      <c r="L343" s="33"/>
      <c r="M343" s="692"/>
      <c r="N343" s="720"/>
      <c r="O343" s="720"/>
      <c r="P343" s="720"/>
      <c r="Q343" s="694"/>
      <c r="S343" s="33"/>
      <c r="T343" s="701"/>
      <c r="U343" s="721"/>
      <c r="V343" s="721"/>
      <c r="W343" s="721"/>
      <c r="X343" s="703"/>
      <c r="Y343" s="708"/>
      <c r="Z343" s="29"/>
      <c r="AA343" s="33"/>
      <c r="AB343" s="713"/>
      <c r="AC343" s="722"/>
      <c r="AD343" s="722"/>
      <c r="AE343" s="722"/>
      <c r="AF343" s="715"/>
    </row>
    <row r="344" spans="1:32" ht="21" customHeight="1" x14ac:dyDescent="0.25">
      <c r="A344" s="32"/>
      <c r="B344" s="82"/>
      <c r="C344" s="40"/>
      <c r="D344" s="686"/>
      <c r="E344" s="687"/>
      <c r="F344" s="687"/>
      <c r="G344" s="687"/>
      <c r="H344" s="687"/>
      <c r="I344" s="687"/>
      <c r="J344" s="688"/>
      <c r="L344" s="32"/>
      <c r="M344" s="695"/>
      <c r="N344" s="696"/>
      <c r="O344" s="696"/>
      <c r="P344" s="696"/>
      <c r="Q344" s="697"/>
      <c r="S344" s="32"/>
      <c r="T344" s="704"/>
      <c r="U344" s="705"/>
      <c r="V344" s="705"/>
      <c r="W344" s="705"/>
      <c r="X344" s="706"/>
      <c r="Y344" s="709"/>
      <c r="Z344" s="29"/>
      <c r="AA344" s="32"/>
      <c r="AB344" s="716"/>
      <c r="AC344" s="717"/>
      <c r="AD344" s="717"/>
      <c r="AE344" s="717"/>
      <c r="AF344" s="718"/>
    </row>
    <row r="345" spans="1:32" ht="21" customHeight="1" x14ac:dyDescent="0.25">
      <c r="A345" s="30">
        <v>115</v>
      </c>
      <c r="B345" s="81" t="s">
        <v>461</v>
      </c>
      <c r="C345" s="26" t="s">
        <v>666</v>
      </c>
      <c r="D345" s="680" t="s">
        <v>667</v>
      </c>
      <c r="E345" s="681"/>
      <c r="F345" s="681"/>
      <c r="G345" s="681"/>
      <c r="H345" s="681"/>
      <c r="I345" s="681"/>
      <c r="J345" s="682"/>
      <c r="L345" s="30">
        <v>115</v>
      </c>
      <c r="M345" s="689" t="s">
        <v>668</v>
      </c>
      <c r="N345" s="690"/>
      <c r="O345" s="690"/>
      <c r="P345" s="690"/>
      <c r="Q345" s="691"/>
      <c r="S345" s="30">
        <v>115</v>
      </c>
      <c r="T345" s="698" t="s">
        <v>669</v>
      </c>
      <c r="U345" s="699"/>
      <c r="V345" s="699"/>
      <c r="W345" s="699"/>
      <c r="X345" s="700"/>
      <c r="Y345" s="707" t="s">
        <v>670</v>
      </c>
      <c r="AA345" s="30">
        <v>115</v>
      </c>
      <c r="AB345" s="710" t="s">
        <v>671</v>
      </c>
      <c r="AC345" s="711"/>
      <c r="AD345" s="711"/>
      <c r="AE345" s="711"/>
      <c r="AF345" s="712"/>
    </row>
    <row r="346" spans="1:32" ht="21" customHeight="1" x14ac:dyDescent="0.25">
      <c r="A346" s="33"/>
      <c r="B346" s="82"/>
      <c r="C346" s="40"/>
      <c r="D346" s="683"/>
      <c r="E346" s="719"/>
      <c r="F346" s="719"/>
      <c r="G346" s="719"/>
      <c r="H346" s="719"/>
      <c r="I346" s="719"/>
      <c r="J346" s="685"/>
      <c r="L346" s="33"/>
      <c r="M346" s="692"/>
      <c r="N346" s="720"/>
      <c r="O346" s="720"/>
      <c r="P346" s="720"/>
      <c r="Q346" s="694"/>
      <c r="S346" s="33"/>
      <c r="T346" s="701"/>
      <c r="U346" s="721"/>
      <c r="V346" s="721"/>
      <c r="W346" s="721"/>
      <c r="X346" s="703"/>
      <c r="Y346" s="708"/>
      <c r="Z346" s="29"/>
      <c r="AA346" s="33"/>
      <c r="AB346" s="713"/>
      <c r="AC346" s="722"/>
      <c r="AD346" s="722"/>
      <c r="AE346" s="722"/>
      <c r="AF346" s="715"/>
    </row>
    <row r="347" spans="1:32" ht="21" customHeight="1" x14ac:dyDescent="0.25">
      <c r="A347" s="32"/>
      <c r="B347" s="82"/>
      <c r="C347" s="40"/>
      <c r="D347" s="686"/>
      <c r="E347" s="687"/>
      <c r="F347" s="687"/>
      <c r="G347" s="687"/>
      <c r="H347" s="687"/>
      <c r="I347" s="687"/>
      <c r="J347" s="688"/>
      <c r="L347" s="32"/>
      <c r="M347" s="695"/>
      <c r="N347" s="696"/>
      <c r="O347" s="696"/>
      <c r="P347" s="696"/>
      <c r="Q347" s="697"/>
      <c r="S347" s="32"/>
      <c r="T347" s="704"/>
      <c r="U347" s="705"/>
      <c r="V347" s="705"/>
      <c r="W347" s="705"/>
      <c r="X347" s="706"/>
      <c r="Y347" s="709"/>
      <c r="Z347" s="29"/>
      <c r="AA347" s="32"/>
      <c r="AB347" s="716"/>
      <c r="AC347" s="717"/>
      <c r="AD347" s="717"/>
      <c r="AE347" s="717"/>
      <c r="AF347" s="718"/>
    </row>
    <row r="348" spans="1:32" ht="21" customHeight="1" x14ac:dyDescent="0.25">
      <c r="A348" s="30">
        <v>116</v>
      </c>
      <c r="B348" s="81" t="s">
        <v>487</v>
      </c>
      <c r="C348" s="26" t="s">
        <v>672</v>
      </c>
      <c r="D348" s="680" t="s">
        <v>673</v>
      </c>
      <c r="E348" s="681"/>
      <c r="F348" s="681"/>
      <c r="G348" s="681"/>
      <c r="H348" s="681"/>
      <c r="I348" s="681"/>
      <c r="J348" s="682"/>
      <c r="L348" s="30">
        <v>116</v>
      </c>
      <c r="M348" s="689" t="s">
        <v>674</v>
      </c>
      <c r="N348" s="690"/>
      <c r="O348" s="690"/>
      <c r="P348" s="690"/>
      <c r="Q348" s="691"/>
      <c r="S348" s="30">
        <v>116</v>
      </c>
      <c r="T348" s="698" t="s">
        <v>675</v>
      </c>
      <c r="U348" s="699"/>
      <c r="V348" s="699"/>
      <c r="W348" s="699"/>
      <c r="X348" s="700"/>
      <c r="Y348" s="707" t="s">
        <v>676</v>
      </c>
      <c r="AA348" s="30">
        <v>116</v>
      </c>
      <c r="AB348" s="710" t="s">
        <v>677</v>
      </c>
      <c r="AC348" s="711"/>
      <c r="AD348" s="711"/>
      <c r="AE348" s="711"/>
      <c r="AF348" s="712"/>
    </row>
    <row r="349" spans="1:32" ht="21" customHeight="1" x14ac:dyDescent="0.25">
      <c r="A349" s="33"/>
      <c r="B349" s="82"/>
      <c r="C349" s="40"/>
      <c r="D349" s="683"/>
      <c r="E349" s="719"/>
      <c r="F349" s="719"/>
      <c r="G349" s="719"/>
      <c r="H349" s="719"/>
      <c r="I349" s="719"/>
      <c r="J349" s="685"/>
      <c r="L349" s="33"/>
      <c r="M349" s="692"/>
      <c r="N349" s="720"/>
      <c r="O349" s="720"/>
      <c r="P349" s="720"/>
      <c r="Q349" s="694"/>
      <c r="S349" s="33"/>
      <c r="T349" s="701"/>
      <c r="U349" s="721"/>
      <c r="V349" s="721"/>
      <c r="W349" s="721"/>
      <c r="X349" s="703"/>
      <c r="Y349" s="708"/>
      <c r="Z349" s="29"/>
      <c r="AA349" s="33"/>
      <c r="AB349" s="713"/>
      <c r="AC349" s="722"/>
      <c r="AD349" s="722"/>
      <c r="AE349" s="722"/>
      <c r="AF349" s="715"/>
    </row>
    <row r="350" spans="1:32" ht="21" customHeight="1" x14ac:dyDescent="0.25">
      <c r="A350" s="32"/>
      <c r="B350" s="82"/>
      <c r="C350" s="40"/>
      <c r="D350" s="686"/>
      <c r="E350" s="687"/>
      <c r="F350" s="687"/>
      <c r="G350" s="687"/>
      <c r="H350" s="687"/>
      <c r="I350" s="687"/>
      <c r="J350" s="688"/>
      <c r="L350" s="32"/>
      <c r="M350" s="695"/>
      <c r="N350" s="696"/>
      <c r="O350" s="696"/>
      <c r="P350" s="696"/>
      <c r="Q350" s="697"/>
      <c r="S350" s="32"/>
      <c r="T350" s="704"/>
      <c r="U350" s="705"/>
      <c r="V350" s="705"/>
      <c r="W350" s="705"/>
      <c r="X350" s="706"/>
      <c r="Y350" s="709"/>
      <c r="Z350" s="29"/>
      <c r="AA350" s="32"/>
      <c r="AB350" s="716"/>
      <c r="AC350" s="717"/>
      <c r="AD350" s="717"/>
      <c r="AE350" s="717"/>
      <c r="AF350" s="718"/>
    </row>
    <row r="351" spans="1:32" ht="21" customHeight="1" x14ac:dyDescent="0.25">
      <c r="A351" s="30">
        <v>117</v>
      </c>
      <c r="B351" s="81" t="s">
        <v>461</v>
      </c>
      <c r="C351" s="26" t="s">
        <v>678</v>
      </c>
      <c r="D351" s="680" t="s">
        <v>679</v>
      </c>
      <c r="E351" s="681"/>
      <c r="F351" s="681"/>
      <c r="G351" s="681"/>
      <c r="H351" s="681"/>
      <c r="I351" s="681"/>
      <c r="J351" s="682"/>
      <c r="L351" s="30">
        <v>117</v>
      </c>
      <c r="M351" s="689" t="s">
        <v>215</v>
      </c>
      <c r="N351" s="690"/>
      <c r="O351" s="690"/>
      <c r="P351" s="690"/>
      <c r="Q351" s="691"/>
      <c r="S351" s="30">
        <v>117</v>
      </c>
      <c r="T351" s="698" t="s">
        <v>680</v>
      </c>
      <c r="U351" s="699"/>
      <c r="V351" s="699"/>
      <c r="W351" s="699"/>
      <c r="X351" s="700"/>
      <c r="Y351" s="707" t="s">
        <v>217</v>
      </c>
      <c r="AA351" s="30">
        <v>117</v>
      </c>
      <c r="AB351" s="710" t="s">
        <v>681</v>
      </c>
      <c r="AC351" s="711"/>
      <c r="AD351" s="711"/>
      <c r="AE351" s="711"/>
      <c r="AF351" s="712"/>
    </row>
    <row r="352" spans="1:32" ht="21" customHeight="1" x14ac:dyDescent="0.25">
      <c r="A352" s="33"/>
      <c r="B352" s="82"/>
      <c r="C352" s="40"/>
      <c r="D352" s="683"/>
      <c r="E352" s="719"/>
      <c r="F352" s="719"/>
      <c r="G352" s="719"/>
      <c r="H352" s="719"/>
      <c r="I352" s="719"/>
      <c r="J352" s="685"/>
      <c r="L352" s="33"/>
      <c r="M352" s="692"/>
      <c r="N352" s="720"/>
      <c r="O352" s="720"/>
      <c r="P352" s="720"/>
      <c r="Q352" s="694"/>
      <c r="S352" s="33"/>
      <c r="T352" s="701"/>
      <c r="U352" s="721"/>
      <c r="V352" s="721"/>
      <c r="W352" s="721"/>
      <c r="X352" s="703"/>
      <c r="Y352" s="708"/>
      <c r="Z352" s="29"/>
      <c r="AA352" s="33"/>
      <c r="AB352" s="713"/>
      <c r="AC352" s="722"/>
      <c r="AD352" s="722"/>
      <c r="AE352" s="722"/>
      <c r="AF352" s="715"/>
    </row>
    <row r="353" spans="1:32" ht="21" customHeight="1" x14ac:dyDescent="0.25">
      <c r="A353" s="32"/>
      <c r="B353" s="82"/>
      <c r="C353" s="40"/>
      <c r="D353" s="686"/>
      <c r="E353" s="687"/>
      <c r="F353" s="687"/>
      <c r="G353" s="687"/>
      <c r="H353" s="687"/>
      <c r="I353" s="687"/>
      <c r="J353" s="688"/>
      <c r="L353" s="32"/>
      <c r="M353" s="695"/>
      <c r="N353" s="696"/>
      <c r="O353" s="696"/>
      <c r="P353" s="696"/>
      <c r="Q353" s="697"/>
      <c r="S353" s="32"/>
      <c r="T353" s="704"/>
      <c r="U353" s="705"/>
      <c r="V353" s="705"/>
      <c r="W353" s="705"/>
      <c r="X353" s="706"/>
      <c r="Y353" s="709"/>
      <c r="Z353" s="29"/>
      <c r="AA353" s="32"/>
      <c r="AB353" s="716"/>
      <c r="AC353" s="717"/>
      <c r="AD353" s="717"/>
      <c r="AE353" s="717"/>
      <c r="AF353" s="718"/>
    </row>
    <row r="354" spans="1:32" ht="21" customHeight="1" x14ac:dyDescent="0.25">
      <c r="A354" s="30">
        <v>118</v>
      </c>
      <c r="B354" s="81" t="s">
        <v>487</v>
      </c>
      <c r="C354" s="26" t="s">
        <v>678</v>
      </c>
      <c r="D354" s="680" t="s">
        <v>682</v>
      </c>
      <c r="E354" s="681"/>
      <c r="F354" s="681"/>
      <c r="G354" s="681"/>
      <c r="H354" s="681"/>
      <c r="I354" s="681"/>
      <c r="J354" s="682"/>
      <c r="L354" s="30">
        <v>118</v>
      </c>
      <c r="M354" s="689" t="s">
        <v>683</v>
      </c>
      <c r="N354" s="690"/>
      <c r="O354" s="690"/>
      <c r="P354" s="690"/>
      <c r="Q354" s="691"/>
      <c r="S354" s="30">
        <v>118</v>
      </c>
      <c r="T354" s="698" t="s">
        <v>684</v>
      </c>
      <c r="U354" s="699"/>
      <c r="V354" s="699"/>
      <c r="W354" s="699"/>
      <c r="X354" s="700"/>
      <c r="Y354" s="707" t="s">
        <v>685</v>
      </c>
      <c r="AA354" s="30">
        <v>118</v>
      </c>
      <c r="AB354" s="710" t="s">
        <v>686</v>
      </c>
      <c r="AC354" s="711"/>
      <c r="AD354" s="711"/>
      <c r="AE354" s="711"/>
      <c r="AF354" s="712"/>
    </row>
    <row r="355" spans="1:32" ht="21" customHeight="1" x14ac:dyDescent="0.25">
      <c r="A355" s="33"/>
      <c r="B355" s="82"/>
      <c r="C355" s="40"/>
      <c r="D355" s="683"/>
      <c r="E355" s="719"/>
      <c r="F355" s="719"/>
      <c r="G355" s="719"/>
      <c r="H355" s="719"/>
      <c r="I355" s="719"/>
      <c r="J355" s="685"/>
      <c r="L355" s="33"/>
      <c r="M355" s="692"/>
      <c r="N355" s="720"/>
      <c r="O355" s="720"/>
      <c r="P355" s="720"/>
      <c r="Q355" s="694"/>
      <c r="S355" s="33"/>
      <c r="T355" s="701"/>
      <c r="U355" s="721"/>
      <c r="V355" s="721"/>
      <c r="W355" s="721"/>
      <c r="X355" s="703"/>
      <c r="Y355" s="708"/>
      <c r="Z355" s="29"/>
      <c r="AA355" s="33"/>
      <c r="AB355" s="713"/>
      <c r="AC355" s="722"/>
      <c r="AD355" s="722"/>
      <c r="AE355" s="722"/>
      <c r="AF355" s="715"/>
    </row>
    <row r="356" spans="1:32" ht="21" customHeight="1" x14ac:dyDescent="0.25">
      <c r="A356" s="32"/>
      <c r="B356" s="82"/>
      <c r="C356" s="40"/>
      <c r="D356" s="686"/>
      <c r="E356" s="687"/>
      <c r="F356" s="687"/>
      <c r="G356" s="687"/>
      <c r="H356" s="687"/>
      <c r="I356" s="687"/>
      <c r="J356" s="688"/>
      <c r="L356" s="32"/>
      <c r="M356" s="695"/>
      <c r="N356" s="696"/>
      <c r="O356" s="696"/>
      <c r="P356" s="696"/>
      <c r="Q356" s="697"/>
      <c r="S356" s="32"/>
      <c r="T356" s="704"/>
      <c r="U356" s="705"/>
      <c r="V356" s="705"/>
      <c r="W356" s="705"/>
      <c r="X356" s="706"/>
      <c r="Y356" s="709"/>
      <c r="Z356" s="29"/>
      <c r="AA356" s="32"/>
      <c r="AB356" s="716"/>
      <c r="AC356" s="717"/>
      <c r="AD356" s="717"/>
      <c r="AE356" s="717"/>
      <c r="AF356" s="718"/>
    </row>
    <row r="357" spans="1:32" ht="21" customHeight="1" x14ac:dyDescent="0.25">
      <c r="A357" s="30">
        <v>119</v>
      </c>
      <c r="B357" s="81" t="s">
        <v>461</v>
      </c>
      <c r="C357" s="26" t="s">
        <v>687</v>
      </c>
      <c r="D357" s="680" t="s">
        <v>688</v>
      </c>
      <c r="E357" s="681"/>
      <c r="F357" s="681"/>
      <c r="G357" s="681"/>
      <c r="H357" s="681"/>
      <c r="I357" s="681"/>
      <c r="J357" s="682"/>
      <c r="L357" s="30">
        <v>119</v>
      </c>
      <c r="M357" s="689" t="s">
        <v>689</v>
      </c>
      <c r="N357" s="690"/>
      <c r="O357" s="690"/>
      <c r="P357" s="690"/>
      <c r="Q357" s="691"/>
      <c r="S357" s="30">
        <v>119</v>
      </c>
      <c r="T357" s="698" t="s">
        <v>690</v>
      </c>
      <c r="U357" s="699"/>
      <c r="V357" s="699"/>
      <c r="W357" s="699"/>
      <c r="X357" s="700"/>
      <c r="Y357" s="707" t="s">
        <v>691</v>
      </c>
      <c r="AA357" s="30">
        <v>119</v>
      </c>
      <c r="AB357" s="710" t="s">
        <v>692</v>
      </c>
      <c r="AC357" s="711"/>
      <c r="AD357" s="711"/>
      <c r="AE357" s="711"/>
      <c r="AF357" s="712"/>
    </row>
    <row r="358" spans="1:32" ht="21" customHeight="1" x14ac:dyDescent="0.25">
      <c r="A358" s="33"/>
      <c r="B358" s="82"/>
      <c r="C358" s="40"/>
      <c r="D358" s="683"/>
      <c r="E358" s="719"/>
      <c r="F358" s="719"/>
      <c r="G358" s="719"/>
      <c r="H358" s="719"/>
      <c r="I358" s="719"/>
      <c r="J358" s="685"/>
      <c r="L358" s="33"/>
      <c r="M358" s="692"/>
      <c r="N358" s="720"/>
      <c r="O358" s="720"/>
      <c r="P358" s="720"/>
      <c r="Q358" s="694"/>
      <c r="S358" s="33"/>
      <c r="T358" s="701"/>
      <c r="U358" s="721"/>
      <c r="V358" s="721"/>
      <c r="W358" s="721"/>
      <c r="X358" s="703"/>
      <c r="Y358" s="708"/>
      <c r="Z358" s="29"/>
      <c r="AA358" s="33"/>
      <c r="AB358" s="713"/>
      <c r="AC358" s="722"/>
      <c r="AD358" s="722"/>
      <c r="AE358" s="722"/>
      <c r="AF358" s="715"/>
    </row>
    <row r="359" spans="1:32" ht="21" customHeight="1" x14ac:dyDescent="0.25">
      <c r="A359" s="32"/>
      <c r="B359" s="82"/>
      <c r="C359" s="40"/>
      <c r="D359" s="686"/>
      <c r="E359" s="687"/>
      <c r="F359" s="687"/>
      <c r="G359" s="687"/>
      <c r="H359" s="687"/>
      <c r="I359" s="687"/>
      <c r="J359" s="688"/>
      <c r="L359" s="32"/>
      <c r="M359" s="695"/>
      <c r="N359" s="696"/>
      <c r="O359" s="696"/>
      <c r="P359" s="696"/>
      <c r="Q359" s="697"/>
      <c r="S359" s="32"/>
      <c r="T359" s="704"/>
      <c r="U359" s="705"/>
      <c r="V359" s="705"/>
      <c r="W359" s="705"/>
      <c r="X359" s="706"/>
      <c r="Y359" s="709"/>
      <c r="Z359" s="29"/>
      <c r="AA359" s="32"/>
      <c r="AB359" s="716"/>
      <c r="AC359" s="717"/>
      <c r="AD359" s="717"/>
      <c r="AE359" s="717"/>
      <c r="AF359" s="718"/>
    </row>
    <row r="360" spans="1:32" ht="21" customHeight="1" x14ac:dyDescent="0.25">
      <c r="A360" s="30">
        <v>120</v>
      </c>
      <c r="B360" s="81" t="s">
        <v>461</v>
      </c>
      <c r="C360" s="26" t="s">
        <v>693</v>
      </c>
      <c r="D360" s="680" t="s">
        <v>694</v>
      </c>
      <c r="E360" s="681"/>
      <c r="F360" s="681"/>
      <c r="G360" s="681"/>
      <c r="H360" s="681"/>
      <c r="I360" s="681"/>
      <c r="J360" s="682"/>
      <c r="L360" s="30">
        <v>120</v>
      </c>
      <c r="M360" s="689" t="s">
        <v>13</v>
      </c>
      <c r="N360" s="690"/>
      <c r="O360" s="690"/>
      <c r="P360" s="690"/>
      <c r="Q360" s="691"/>
      <c r="S360" s="30">
        <v>120</v>
      </c>
      <c r="T360" s="698" t="s">
        <v>695</v>
      </c>
      <c r="U360" s="699"/>
      <c r="V360" s="699"/>
      <c r="W360" s="699"/>
      <c r="X360" s="700"/>
      <c r="Y360" s="707" t="s">
        <v>535</v>
      </c>
      <c r="AA360" s="30">
        <v>120</v>
      </c>
      <c r="AB360" s="710" t="s">
        <v>696</v>
      </c>
      <c r="AC360" s="711"/>
      <c r="AD360" s="711"/>
      <c r="AE360" s="711"/>
      <c r="AF360" s="712"/>
    </row>
    <row r="361" spans="1:32" ht="21" customHeight="1" x14ac:dyDescent="0.25">
      <c r="A361" s="33"/>
      <c r="B361" s="82"/>
      <c r="C361" s="40"/>
      <c r="D361" s="683"/>
      <c r="E361" s="719"/>
      <c r="F361" s="719"/>
      <c r="G361" s="719"/>
      <c r="H361" s="719"/>
      <c r="I361" s="719"/>
      <c r="J361" s="685"/>
      <c r="L361" s="33"/>
      <c r="M361" s="692"/>
      <c r="N361" s="720"/>
      <c r="O361" s="720"/>
      <c r="P361" s="720"/>
      <c r="Q361" s="694"/>
      <c r="S361" s="33"/>
      <c r="T361" s="701"/>
      <c r="U361" s="721"/>
      <c r="V361" s="721"/>
      <c r="W361" s="721"/>
      <c r="X361" s="703"/>
      <c r="Y361" s="708"/>
      <c r="Z361" s="29"/>
      <c r="AA361" s="33"/>
      <c r="AB361" s="713"/>
      <c r="AC361" s="722"/>
      <c r="AD361" s="722"/>
      <c r="AE361" s="722"/>
      <c r="AF361" s="715"/>
    </row>
    <row r="362" spans="1:32" ht="21" customHeight="1" x14ac:dyDescent="0.25">
      <c r="A362" s="32"/>
      <c r="B362" s="82"/>
      <c r="C362" s="40"/>
      <c r="D362" s="686"/>
      <c r="E362" s="687"/>
      <c r="F362" s="687"/>
      <c r="G362" s="687"/>
      <c r="H362" s="687"/>
      <c r="I362" s="687"/>
      <c r="J362" s="688"/>
      <c r="L362" s="32"/>
      <c r="M362" s="695"/>
      <c r="N362" s="696"/>
      <c r="O362" s="696"/>
      <c r="P362" s="696"/>
      <c r="Q362" s="697"/>
      <c r="S362" s="32"/>
      <c r="T362" s="704"/>
      <c r="U362" s="705"/>
      <c r="V362" s="705"/>
      <c r="W362" s="705"/>
      <c r="X362" s="706"/>
      <c r="Y362" s="709"/>
      <c r="Z362" s="29"/>
      <c r="AA362" s="32"/>
      <c r="AB362" s="716"/>
      <c r="AC362" s="717"/>
      <c r="AD362" s="717"/>
      <c r="AE362" s="717"/>
      <c r="AF362" s="718"/>
    </row>
    <row r="363" spans="1:32" ht="15.75" customHeight="1" x14ac:dyDescent="0.25">
      <c r="A363" s="30">
        <v>121</v>
      </c>
      <c r="B363" s="81" t="s">
        <v>461</v>
      </c>
      <c r="C363" s="26" t="s">
        <v>273</v>
      </c>
      <c r="D363" s="680" t="s">
        <v>697</v>
      </c>
      <c r="E363" s="681"/>
      <c r="F363" s="681"/>
      <c r="G363" s="681"/>
      <c r="H363" s="681"/>
      <c r="I363" s="681"/>
      <c r="J363" s="682"/>
      <c r="L363" s="30">
        <v>121</v>
      </c>
      <c r="M363" s="689" t="s">
        <v>698</v>
      </c>
      <c r="N363" s="690"/>
      <c r="O363" s="690"/>
      <c r="P363" s="690"/>
      <c r="Q363" s="691"/>
      <c r="S363" s="30">
        <v>121</v>
      </c>
      <c r="T363" s="698" t="s">
        <v>276</v>
      </c>
      <c r="U363" s="699"/>
      <c r="V363" s="699"/>
      <c r="W363" s="699"/>
      <c r="X363" s="700"/>
      <c r="Y363" s="707" t="s">
        <v>699</v>
      </c>
      <c r="AA363" s="30">
        <v>121</v>
      </c>
      <c r="AB363" s="710" t="s">
        <v>700</v>
      </c>
      <c r="AC363" s="711"/>
      <c r="AD363" s="711"/>
      <c r="AE363" s="711"/>
      <c r="AF363" s="712"/>
    </row>
    <row r="364" spans="1:32" ht="15.75" x14ac:dyDescent="0.25">
      <c r="A364" s="33"/>
      <c r="B364" s="82"/>
      <c r="C364" s="40"/>
      <c r="D364" s="683"/>
      <c r="E364" s="719"/>
      <c r="F364" s="719"/>
      <c r="G364" s="719"/>
      <c r="H364" s="719"/>
      <c r="I364" s="719"/>
      <c r="J364" s="685"/>
      <c r="L364" s="33"/>
      <c r="M364" s="692"/>
      <c r="N364" s="720"/>
      <c r="O364" s="720"/>
      <c r="P364" s="720"/>
      <c r="Q364" s="694"/>
      <c r="S364" s="33"/>
      <c r="T364" s="701"/>
      <c r="U364" s="721"/>
      <c r="V364" s="721"/>
      <c r="W364" s="721"/>
      <c r="X364" s="703"/>
      <c r="Y364" s="708"/>
      <c r="Z364" s="29"/>
      <c r="AA364" s="33"/>
      <c r="AB364" s="713"/>
      <c r="AC364" s="722"/>
      <c r="AD364" s="722"/>
      <c r="AE364" s="722"/>
      <c r="AF364" s="715"/>
    </row>
    <row r="365" spans="1:32" ht="15.75" x14ac:dyDescent="0.25">
      <c r="A365" s="32"/>
      <c r="B365" s="82"/>
      <c r="C365" s="40"/>
      <c r="D365" s="686"/>
      <c r="E365" s="687"/>
      <c r="F365" s="687"/>
      <c r="G365" s="687"/>
      <c r="H365" s="687"/>
      <c r="I365" s="687"/>
      <c r="J365" s="688"/>
      <c r="L365" s="32"/>
      <c r="M365" s="695"/>
      <c r="N365" s="696"/>
      <c r="O365" s="696"/>
      <c r="P365" s="696"/>
      <c r="Q365" s="697"/>
      <c r="S365" s="32"/>
      <c r="T365" s="704"/>
      <c r="U365" s="705"/>
      <c r="V365" s="705"/>
      <c r="W365" s="705"/>
      <c r="X365" s="706"/>
      <c r="Y365" s="709"/>
      <c r="Z365" s="29"/>
      <c r="AA365" s="32"/>
      <c r="AB365" s="716"/>
      <c r="AC365" s="717"/>
      <c r="AD365" s="717"/>
      <c r="AE365" s="717"/>
      <c r="AF365" s="718"/>
    </row>
    <row r="366" spans="1:32" ht="15.75" customHeight="1" x14ac:dyDescent="0.25">
      <c r="A366" s="30">
        <v>122</v>
      </c>
      <c r="B366" s="81" t="s">
        <v>461</v>
      </c>
      <c r="C366" s="26" t="s">
        <v>301</v>
      </c>
      <c r="D366" s="680" t="s">
        <v>701</v>
      </c>
      <c r="E366" s="681"/>
      <c r="F366" s="681"/>
      <c r="G366" s="681"/>
      <c r="H366" s="681"/>
      <c r="I366" s="681"/>
      <c r="J366" s="682"/>
      <c r="L366" s="30">
        <v>122</v>
      </c>
      <c r="M366" s="689" t="s">
        <v>702</v>
      </c>
      <c r="N366" s="690"/>
      <c r="O366" s="690"/>
      <c r="P366" s="690"/>
      <c r="Q366" s="691"/>
      <c r="S366" s="30">
        <v>122</v>
      </c>
      <c r="T366" s="698" t="s">
        <v>304</v>
      </c>
      <c r="U366" s="699"/>
      <c r="V366" s="699"/>
      <c r="W366" s="699"/>
      <c r="X366" s="700"/>
      <c r="Y366" s="707" t="s">
        <v>703</v>
      </c>
      <c r="AA366" s="30">
        <v>122</v>
      </c>
      <c r="AB366" s="710" t="s">
        <v>704</v>
      </c>
      <c r="AC366" s="711"/>
      <c r="AD366" s="711"/>
      <c r="AE366" s="711"/>
      <c r="AF366" s="712"/>
    </row>
    <row r="367" spans="1:32" ht="15.75" x14ac:dyDescent="0.25">
      <c r="A367" s="33"/>
      <c r="B367" s="82"/>
      <c r="C367" s="40"/>
      <c r="D367" s="683"/>
      <c r="E367" s="719"/>
      <c r="F367" s="719"/>
      <c r="G367" s="719"/>
      <c r="H367" s="719"/>
      <c r="I367" s="719"/>
      <c r="J367" s="685"/>
      <c r="L367" s="33"/>
      <c r="M367" s="692"/>
      <c r="N367" s="720"/>
      <c r="O367" s="720"/>
      <c r="P367" s="720"/>
      <c r="Q367" s="694"/>
      <c r="S367" s="33"/>
      <c r="T367" s="701"/>
      <c r="U367" s="721"/>
      <c r="V367" s="721"/>
      <c r="W367" s="721"/>
      <c r="X367" s="703"/>
      <c r="Y367" s="708"/>
      <c r="Z367" s="29"/>
      <c r="AA367" s="33"/>
      <c r="AB367" s="713"/>
      <c r="AC367" s="722"/>
      <c r="AD367" s="722"/>
      <c r="AE367" s="722"/>
      <c r="AF367" s="715"/>
    </row>
    <row r="368" spans="1:32" ht="15.75" x14ac:dyDescent="0.25">
      <c r="A368" s="32"/>
      <c r="B368" s="82"/>
      <c r="C368" s="40"/>
      <c r="D368" s="686"/>
      <c r="E368" s="687"/>
      <c r="F368" s="687"/>
      <c r="G368" s="687"/>
      <c r="H368" s="687"/>
      <c r="I368" s="687"/>
      <c r="J368" s="688"/>
      <c r="L368" s="32"/>
      <c r="M368" s="695"/>
      <c r="N368" s="696"/>
      <c r="O368" s="696"/>
      <c r="P368" s="696"/>
      <c r="Q368" s="697"/>
      <c r="S368" s="32"/>
      <c r="T368" s="704"/>
      <c r="U368" s="705"/>
      <c r="V368" s="705"/>
      <c r="W368" s="705"/>
      <c r="X368" s="706"/>
      <c r="Y368" s="709"/>
      <c r="Z368" s="29"/>
      <c r="AA368" s="32"/>
      <c r="AB368" s="716"/>
      <c r="AC368" s="717"/>
      <c r="AD368" s="717"/>
      <c r="AE368" s="717"/>
      <c r="AF368" s="718"/>
    </row>
    <row r="369" spans="1:32" ht="15.75" customHeight="1" x14ac:dyDescent="0.25">
      <c r="A369" s="30">
        <v>123</v>
      </c>
      <c r="B369" s="81" t="s">
        <v>487</v>
      </c>
      <c r="C369" s="26" t="s">
        <v>301</v>
      </c>
      <c r="D369" s="680" t="s">
        <v>705</v>
      </c>
      <c r="E369" s="681"/>
      <c r="F369" s="681"/>
      <c r="G369" s="681"/>
      <c r="H369" s="681"/>
      <c r="I369" s="681"/>
      <c r="J369" s="682"/>
      <c r="L369" s="30">
        <v>123</v>
      </c>
      <c r="M369" s="689" t="s">
        <v>706</v>
      </c>
      <c r="N369" s="690"/>
      <c r="O369" s="690"/>
      <c r="P369" s="690"/>
      <c r="Q369" s="691"/>
      <c r="S369" s="30">
        <v>123</v>
      </c>
      <c r="T369" s="698" t="s">
        <v>707</v>
      </c>
      <c r="U369" s="699"/>
      <c r="V369" s="699"/>
      <c r="W369" s="699"/>
      <c r="X369" s="700"/>
      <c r="Y369" s="707" t="s">
        <v>708</v>
      </c>
      <c r="AA369" s="30">
        <v>123</v>
      </c>
      <c r="AB369" s="710" t="s">
        <v>709</v>
      </c>
      <c r="AC369" s="711"/>
      <c r="AD369" s="711"/>
      <c r="AE369" s="711"/>
      <c r="AF369" s="712"/>
    </row>
    <row r="370" spans="1:32" ht="15.75" x14ac:dyDescent="0.25">
      <c r="A370" s="33"/>
      <c r="B370" s="82"/>
      <c r="C370" s="40"/>
      <c r="D370" s="683"/>
      <c r="E370" s="719"/>
      <c r="F370" s="719"/>
      <c r="G370" s="719"/>
      <c r="H370" s="719"/>
      <c r="I370" s="719"/>
      <c r="J370" s="685"/>
      <c r="L370" s="33"/>
      <c r="M370" s="692"/>
      <c r="N370" s="720"/>
      <c r="O370" s="720"/>
      <c r="P370" s="720"/>
      <c r="Q370" s="694"/>
      <c r="S370" s="33"/>
      <c r="T370" s="701"/>
      <c r="U370" s="721"/>
      <c r="V370" s="721"/>
      <c r="W370" s="721"/>
      <c r="X370" s="703"/>
      <c r="Y370" s="708"/>
      <c r="Z370" s="29"/>
      <c r="AA370" s="33"/>
      <c r="AB370" s="713"/>
      <c r="AC370" s="722"/>
      <c r="AD370" s="722"/>
      <c r="AE370" s="722"/>
      <c r="AF370" s="715"/>
    </row>
    <row r="371" spans="1:32" ht="15.75" x14ac:dyDescent="0.25">
      <c r="A371" s="32"/>
      <c r="B371" s="82"/>
      <c r="C371" s="40"/>
      <c r="D371" s="686"/>
      <c r="E371" s="687"/>
      <c r="F371" s="687"/>
      <c r="G371" s="687"/>
      <c r="H371" s="687"/>
      <c r="I371" s="687"/>
      <c r="J371" s="688"/>
      <c r="L371" s="32"/>
      <c r="M371" s="695"/>
      <c r="N371" s="696"/>
      <c r="O371" s="696"/>
      <c r="P371" s="696"/>
      <c r="Q371" s="697"/>
      <c r="S371" s="32"/>
      <c r="T371" s="704"/>
      <c r="U371" s="705"/>
      <c r="V371" s="705"/>
      <c r="W371" s="705"/>
      <c r="X371" s="706"/>
      <c r="Y371" s="709"/>
      <c r="Z371" s="29"/>
      <c r="AA371" s="32"/>
      <c r="AB371" s="716"/>
      <c r="AC371" s="717"/>
      <c r="AD371" s="717"/>
      <c r="AE371" s="717"/>
      <c r="AF371" s="718"/>
    </row>
    <row r="372" spans="1:32" ht="15.75" customHeight="1" x14ac:dyDescent="0.25">
      <c r="A372" s="30">
        <v>124</v>
      </c>
      <c r="B372" s="81" t="s">
        <v>461</v>
      </c>
      <c r="C372" s="26" t="s">
        <v>307</v>
      </c>
      <c r="D372" s="680" t="s">
        <v>710</v>
      </c>
      <c r="E372" s="681"/>
      <c r="F372" s="681"/>
      <c r="G372" s="681"/>
      <c r="H372" s="681"/>
      <c r="I372" s="681"/>
      <c r="J372" s="682"/>
      <c r="L372" s="30">
        <v>124</v>
      </c>
      <c r="M372" s="689" t="s">
        <v>67</v>
      </c>
      <c r="N372" s="690"/>
      <c r="O372" s="690"/>
      <c r="P372" s="690"/>
      <c r="Q372" s="691"/>
      <c r="S372" s="30">
        <v>124</v>
      </c>
      <c r="T372" s="698" t="s">
        <v>309</v>
      </c>
      <c r="U372" s="699"/>
      <c r="V372" s="699"/>
      <c r="W372" s="699"/>
      <c r="X372" s="700"/>
      <c r="Y372" s="707" t="s">
        <v>69</v>
      </c>
      <c r="AA372" s="30">
        <v>124</v>
      </c>
      <c r="AB372" s="710" t="s">
        <v>711</v>
      </c>
      <c r="AC372" s="711"/>
      <c r="AD372" s="711"/>
      <c r="AE372" s="711"/>
      <c r="AF372" s="712"/>
    </row>
    <row r="373" spans="1:32" ht="15.75" x14ac:dyDescent="0.25">
      <c r="A373" s="33"/>
      <c r="B373" s="82"/>
      <c r="C373" s="40"/>
      <c r="D373" s="683"/>
      <c r="E373" s="719"/>
      <c r="F373" s="719"/>
      <c r="G373" s="719"/>
      <c r="H373" s="719"/>
      <c r="I373" s="719"/>
      <c r="J373" s="685"/>
      <c r="L373" s="33"/>
      <c r="M373" s="692"/>
      <c r="N373" s="720"/>
      <c r="O373" s="720"/>
      <c r="P373" s="720"/>
      <c r="Q373" s="694"/>
      <c r="S373" s="33"/>
      <c r="T373" s="701"/>
      <c r="U373" s="721"/>
      <c r="V373" s="721"/>
      <c r="W373" s="721"/>
      <c r="X373" s="703"/>
      <c r="Y373" s="708"/>
      <c r="Z373" s="29"/>
      <c r="AA373" s="33"/>
      <c r="AB373" s="713"/>
      <c r="AC373" s="722"/>
      <c r="AD373" s="722"/>
      <c r="AE373" s="722"/>
      <c r="AF373" s="715"/>
    </row>
    <row r="374" spans="1:32" ht="15.75" x14ac:dyDescent="0.25">
      <c r="A374" s="32"/>
      <c r="B374" s="82"/>
      <c r="C374" s="40"/>
      <c r="D374" s="686"/>
      <c r="E374" s="687"/>
      <c r="F374" s="687"/>
      <c r="G374" s="687"/>
      <c r="H374" s="687"/>
      <c r="I374" s="687"/>
      <c r="J374" s="688"/>
      <c r="L374" s="32"/>
      <c r="M374" s="695"/>
      <c r="N374" s="696"/>
      <c r="O374" s="696"/>
      <c r="P374" s="696"/>
      <c r="Q374" s="697"/>
      <c r="S374" s="32"/>
      <c r="T374" s="704"/>
      <c r="U374" s="705"/>
      <c r="V374" s="705"/>
      <c r="W374" s="705"/>
      <c r="X374" s="706"/>
      <c r="Y374" s="709"/>
      <c r="Z374" s="29"/>
      <c r="AA374" s="32"/>
      <c r="AB374" s="716"/>
      <c r="AC374" s="717"/>
      <c r="AD374" s="717"/>
      <c r="AE374" s="717"/>
      <c r="AF374" s="718"/>
    </row>
    <row r="375" spans="1:32" ht="15.75" customHeight="1" x14ac:dyDescent="0.25">
      <c r="A375" s="30">
        <v>125</v>
      </c>
      <c r="B375" s="81" t="s">
        <v>487</v>
      </c>
      <c r="C375" s="26" t="s">
        <v>712</v>
      </c>
      <c r="D375" s="680" t="s">
        <v>713</v>
      </c>
      <c r="E375" s="681"/>
      <c r="F375" s="681"/>
      <c r="G375" s="681"/>
      <c r="H375" s="681"/>
      <c r="I375" s="681"/>
      <c r="J375" s="682"/>
      <c r="L375" s="30">
        <v>125</v>
      </c>
      <c r="M375" s="689" t="s">
        <v>714</v>
      </c>
      <c r="N375" s="690"/>
      <c r="O375" s="690"/>
      <c r="P375" s="690"/>
      <c r="Q375" s="691"/>
      <c r="S375" s="30">
        <v>125</v>
      </c>
      <c r="T375" s="698" t="s">
        <v>715</v>
      </c>
      <c r="U375" s="699"/>
      <c r="V375" s="699"/>
      <c r="W375" s="699"/>
      <c r="X375" s="700"/>
      <c r="Y375" s="707" t="s">
        <v>716</v>
      </c>
      <c r="AA375" s="30">
        <v>125</v>
      </c>
      <c r="AB375" s="710" t="s">
        <v>717</v>
      </c>
      <c r="AC375" s="711"/>
      <c r="AD375" s="711"/>
      <c r="AE375" s="711"/>
      <c r="AF375" s="712"/>
    </row>
    <row r="376" spans="1:32" ht="15.75" x14ac:dyDescent="0.25">
      <c r="A376" s="33"/>
      <c r="B376" s="82"/>
      <c r="C376" s="40"/>
      <c r="D376" s="683"/>
      <c r="E376" s="719"/>
      <c r="F376" s="719"/>
      <c r="G376" s="719"/>
      <c r="H376" s="719"/>
      <c r="I376" s="719"/>
      <c r="J376" s="685"/>
      <c r="L376" s="33"/>
      <c r="M376" s="692"/>
      <c r="N376" s="720"/>
      <c r="O376" s="720"/>
      <c r="P376" s="720"/>
      <c r="Q376" s="694"/>
      <c r="S376" s="33"/>
      <c r="T376" s="701"/>
      <c r="U376" s="721"/>
      <c r="V376" s="721"/>
      <c r="W376" s="721"/>
      <c r="X376" s="703"/>
      <c r="Y376" s="708"/>
      <c r="Z376" s="29"/>
      <c r="AA376" s="33"/>
      <c r="AB376" s="713"/>
      <c r="AC376" s="722"/>
      <c r="AD376" s="722"/>
      <c r="AE376" s="722"/>
      <c r="AF376" s="715"/>
    </row>
    <row r="377" spans="1:32" ht="15.75" x14ac:dyDescent="0.25">
      <c r="A377" s="32"/>
      <c r="B377" s="82"/>
      <c r="C377" s="40"/>
      <c r="D377" s="686"/>
      <c r="E377" s="687"/>
      <c r="F377" s="687"/>
      <c r="G377" s="687"/>
      <c r="H377" s="687"/>
      <c r="I377" s="687"/>
      <c r="J377" s="688"/>
      <c r="L377" s="32"/>
      <c r="M377" s="695"/>
      <c r="N377" s="696"/>
      <c r="O377" s="696"/>
      <c r="P377" s="696"/>
      <c r="Q377" s="697"/>
      <c r="S377" s="32"/>
      <c r="T377" s="704"/>
      <c r="U377" s="705"/>
      <c r="V377" s="705"/>
      <c r="W377" s="705"/>
      <c r="X377" s="706"/>
      <c r="Y377" s="709"/>
      <c r="Z377" s="29"/>
      <c r="AA377" s="32"/>
      <c r="AB377" s="716"/>
      <c r="AC377" s="717"/>
      <c r="AD377" s="717"/>
      <c r="AE377" s="717"/>
      <c r="AF377" s="718"/>
    </row>
    <row r="378" spans="1:32" ht="15.75" customHeight="1" x14ac:dyDescent="0.25">
      <c r="A378" s="30">
        <v>126</v>
      </c>
      <c r="B378" s="81" t="s">
        <v>461</v>
      </c>
      <c r="C378" s="26" t="s">
        <v>718</v>
      </c>
      <c r="D378" s="680" t="s">
        <v>719</v>
      </c>
      <c r="E378" s="681"/>
      <c r="F378" s="681"/>
      <c r="G378" s="681"/>
      <c r="H378" s="681"/>
      <c r="I378" s="681"/>
      <c r="J378" s="682"/>
      <c r="L378" s="30">
        <v>126</v>
      </c>
      <c r="M378" s="689" t="s">
        <v>720</v>
      </c>
      <c r="N378" s="690"/>
      <c r="O378" s="690"/>
      <c r="P378" s="690"/>
      <c r="Q378" s="691"/>
      <c r="S378" s="30">
        <v>126</v>
      </c>
      <c r="T378" s="698" t="s">
        <v>721</v>
      </c>
      <c r="U378" s="699"/>
      <c r="V378" s="699"/>
      <c r="W378" s="699"/>
      <c r="X378" s="700"/>
      <c r="Y378" s="707" t="s">
        <v>722</v>
      </c>
      <c r="AA378" s="30">
        <v>126</v>
      </c>
      <c r="AB378" s="710" t="s">
        <v>723</v>
      </c>
      <c r="AC378" s="711"/>
      <c r="AD378" s="711"/>
      <c r="AE378" s="711"/>
      <c r="AF378" s="712"/>
    </row>
    <row r="379" spans="1:32" ht="15.75" x14ac:dyDescent="0.25">
      <c r="A379" s="33"/>
      <c r="B379" s="82"/>
      <c r="C379" s="40"/>
      <c r="D379" s="683"/>
      <c r="E379" s="719"/>
      <c r="F379" s="719"/>
      <c r="G379" s="719"/>
      <c r="H379" s="719"/>
      <c r="I379" s="719"/>
      <c r="J379" s="685"/>
      <c r="L379" s="33"/>
      <c r="M379" s="692"/>
      <c r="N379" s="720"/>
      <c r="O379" s="720"/>
      <c r="P379" s="720"/>
      <c r="Q379" s="694"/>
      <c r="S379" s="33"/>
      <c r="T379" s="701"/>
      <c r="U379" s="721"/>
      <c r="V379" s="721"/>
      <c r="W379" s="721"/>
      <c r="X379" s="703"/>
      <c r="Y379" s="708"/>
      <c r="Z379" s="29"/>
      <c r="AA379" s="33"/>
      <c r="AB379" s="713"/>
      <c r="AC379" s="722"/>
      <c r="AD379" s="722"/>
      <c r="AE379" s="722"/>
      <c r="AF379" s="715"/>
    </row>
    <row r="380" spans="1:32" ht="15.75" x14ac:dyDescent="0.25">
      <c r="A380" s="32"/>
      <c r="B380" s="82"/>
      <c r="C380" s="40"/>
      <c r="D380" s="686"/>
      <c r="E380" s="687"/>
      <c r="F380" s="687"/>
      <c r="G380" s="687"/>
      <c r="H380" s="687"/>
      <c r="I380" s="687"/>
      <c r="J380" s="688"/>
      <c r="L380" s="32"/>
      <c r="M380" s="695"/>
      <c r="N380" s="696"/>
      <c r="O380" s="696"/>
      <c r="P380" s="696"/>
      <c r="Q380" s="697"/>
      <c r="S380" s="32"/>
      <c r="T380" s="704"/>
      <c r="U380" s="705"/>
      <c r="V380" s="705"/>
      <c r="W380" s="705"/>
      <c r="X380" s="706"/>
      <c r="Y380" s="709"/>
      <c r="Z380" s="29"/>
      <c r="AA380" s="32"/>
      <c r="AB380" s="716"/>
      <c r="AC380" s="717"/>
      <c r="AD380" s="717"/>
      <c r="AE380" s="717"/>
      <c r="AF380" s="718"/>
    </row>
    <row r="381" spans="1:32" ht="15.75" customHeight="1" x14ac:dyDescent="0.25">
      <c r="A381" s="30">
        <v>127</v>
      </c>
      <c r="B381" s="81" t="s">
        <v>461</v>
      </c>
      <c r="C381" s="26" t="s">
        <v>724</v>
      </c>
      <c r="D381" s="680" t="s">
        <v>725</v>
      </c>
      <c r="E381" s="681"/>
      <c r="F381" s="681"/>
      <c r="G381" s="681"/>
      <c r="H381" s="681"/>
      <c r="I381" s="681"/>
      <c r="J381" s="682"/>
      <c r="L381" s="30">
        <v>127</v>
      </c>
      <c r="M381" s="689" t="s">
        <v>726</v>
      </c>
      <c r="N381" s="690"/>
      <c r="O381" s="690"/>
      <c r="P381" s="690"/>
      <c r="Q381" s="691"/>
      <c r="S381" s="30">
        <v>127</v>
      </c>
      <c r="T381" s="698" t="s">
        <v>727</v>
      </c>
      <c r="U381" s="699"/>
      <c r="V381" s="699"/>
      <c r="W381" s="699"/>
      <c r="X381" s="700"/>
      <c r="Y381" s="707" t="s">
        <v>728</v>
      </c>
      <c r="AA381" s="30">
        <v>127</v>
      </c>
      <c r="AB381" s="710" t="s">
        <v>729</v>
      </c>
      <c r="AC381" s="711"/>
      <c r="AD381" s="711"/>
      <c r="AE381" s="711"/>
      <c r="AF381" s="712"/>
    </row>
    <row r="382" spans="1:32" ht="15.75" x14ac:dyDescent="0.25">
      <c r="A382" s="33"/>
      <c r="B382" s="82"/>
      <c r="C382" s="40"/>
      <c r="D382" s="683"/>
      <c r="E382" s="719"/>
      <c r="F382" s="719"/>
      <c r="G382" s="719"/>
      <c r="H382" s="719"/>
      <c r="I382" s="719"/>
      <c r="J382" s="685"/>
      <c r="L382" s="33"/>
      <c r="M382" s="692"/>
      <c r="N382" s="720"/>
      <c r="O382" s="720"/>
      <c r="P382" s="720"/>
      <c r="Q382" s="694"/>
      <c r="S382" s="33"/>
      <c r="T382" s="701"/>
      <c r="U382" s="721"/>
      <c r="V382" s="721"/>
      <c r="W382" s="721"/>
      <c r="X382" s="703"/>
      <c r="Y382" s="708"/>
      <c r="Z382" s="29"/>
      <c r="AA382" s="33"/>
      <c r="AB382" s="713"/>
      <c r="AC382" s="722"/>
      <c r="AD382" s="722"/>
      <c r="AE382" s="722"/>
      <c r="AF382" s="715"/>
    </row>
    <row r="383" spans="1:32" ht="15.75" x14ac:dyDescent="0.25">
      <c r="A383" s="32"/>
      <c r="B383" s="82"/>
      <c r="C383" s="40"/>
      <c r="D383" s="686"/>
      <c r="E383" s="687"/>
      <c r="F383" s="687"/>
      <c r="G383" s="687"/>
      <c r="H383" s="687"/>
      <c r="I383" s="687"/>
      <c r="J383" s="688"/>
      <c r="L383" s="32"/>
      <c r="M383" s="695"/>
      <c r="N383" s="696"/>
      <c r="O383" s="696"/>
      <c r="P383" s="696"/>
      <c r="Q383" s="697"/>
      <c r="S383" s="32"/>
      <c r="T383" s="704"/>
      <c r="U383" s="705"/>
      <c r="V383" s="705"/>
      <c r="W383" s="705"/>
      <c r="X383" s="706"/>
      <c r="Y383" s="709"/>
      <c r="Z383" s="29"/>
      <c r="AA383" s="32"/>
      <c r="AB383" s="716"/>
      <c r="AC383" s="717"/>
      <c r="AD383" s="717"/>
      <c r="AE383" s="717"/>
      <c r="AF383" s="718"/>
    </row>
    <row r="384" spans="1:32" ht="15.75" customHeight="1" x14ac:dyDescent="0.25">
      <c r="A384" s="30">
        <v>128</v>
      </c>
      <c r="B384" s="81" t="s">
        <v>487</v>
      </c>
      <c r="C384" s="26" t="s">
        <v>730</v>
      </c>
      <c r="D384" s="680" t="s">
        <v>731</v>
      </c>
      <c r="E384" s="681"/>
      <c r="F384" s="681"/>
      <c r="G384" s="681"/>
      <c r="H384" s="681"/>
      <c r="I384" s="681"/>
      <c r="J384" s="682"/>
      <c r="L384" s="30">
        <v>128</v>
      </c>
      <c r="M384" s="689" t="s">
        <v>732</v>
      </c>
      <c r="N384" s="690"/>
      <c r="O384" s="690"/>
      <c r="P384" s="690"/>
      <c r="Q384" s="691"/>
      <c r="S384" s="30">
        <v>128</v>
      </c>
      <c r="T384" s="698" t="s">
        <v>733</v>
      </c>
      <c r="U384" s="699"/>
      <c r="V384" s="699"/>
      <c r="W384" s="699"/>
      <c r="X384" s="700"/>
      <c r="Y384" s="707" t="s">
        <v>734</v>
      </c>
      <c r="AA384" s="30">
        <v>128</v>
      </c>
      <c r="AB384" s="710" t="s">
        <v>735</v>
      </c>
      <c r="AC384" s="711"/>
      <c r="AD384" s="711"/>
      <c r="AE384" s="711"/>
      <c r="AF384" s="712"/>
    </row>
    <row r="385" spans="1:32" ht="15.75" x14ac:dyDescent="0.25">
      <c r="A385" s="33"/>
      <c r="B385" s="82"/>
      <c r="C385" s="40"/>
      <c r="D385" s="683"/>
      <c r="E385" s="719"/>
      <c r="F385" s="719"/>
      <c r="G385" s="719"/>
      <c r="H385" s="719"/>
      <c r="I385" s="719"/>
      <c r="J385" s="685"/>
      <c r="L385" s="33"/>
      <c r="M385" s="692"/>
      <c r="N385" s="720"/>
      <c r="O385" s="720"/>
      <c r="P385" s="720"/>
      <c r="Q385" s="694"/>
      <c r="S385" s="33"/>
      <c r="T385" s="701"/>
      <c r="U385" s="721"/>
      <c r="V385" s="721"/>
      <c r="W385" s="721"/>
      <c r="X385" s="703"/>
      <c r="Y385" s="708"/>
      <c r="Z385" s="29"/>
      <c r="AA385" s="33"/>
      <c r="AB385" s="713"/>
      <c r="AC385" s="722"/>
      <c r="AD385" s="722"/>
      <c r="AE385" s="722"/>
      <c r="AF385" s="715"/>
    </row>
    <row r="386" spans="1:32" ht="15.75" x14ac:dyDescent="0.25">
      <c r="A386" s="32"/>
      <c r="B386" s="82"/>
      <c r="C386" s="40"/>
      <c r="D386" s="686"/>
      <c r="E386" s="687"/>
      <c r="F386" s="687"/>
      <c r="G386" s="687"/>
      <c r="H386" s="687"/>
      <c r="I386" s="687"/>
      <c r="J386" s="688"/>
      <c r="L386" s="32"/>
      <c r="M386" s="695"/>
      <c r="N386" s="696"/>
      <c r="O386" s="696"/>
      <c r="P386" s="696"/>
      <c r="Q386" s="697"/>
      <c r="S386" s="32"/>
      <c r="T386" s="704"/>
      <c r="U386" s="705"/>
      <c r="V386" s="705"/>
      <c r="W386" s="705"/>
      <c r="X386" s="706"/>
      <c r="Y386" s="709"/>
      <c r="Z386" s="29"/>
      <c r="AA386" s="32"/>
      <c r="AB386" s="716"/>
      <c r="AC386" s="717"/>
      <c r="AD386" s="717"/>
      <c r="AE386" s="717"/>
      <c r="AF386" s="718"/>
    </row>
    <row r="387" spans="1:32" ht="15.75" customHeight="1" x14ac:dyDescent="0.25">
      <c r="A387" s="30">
        <v>129</v>
      </c>
      <c r="B387" s="81" t="s">
        <v>461</v>
      </c>
      <c r="C387" s="26" t="s">
        <v>736</v>
      </c>
      <c r="D387" s="680" t="s">
        <v>737</v>
      </c>
      <c r="E387" s="681"/>
      <c r="F387" s="681"/>
      <c r="G387" s="681"/>
      <c r="H387" s="681"/>
      <c r="I387" s="681"/>
      <c r="J387" s="682"/>
      <c r="L387" s="30">
        <v>129</v>
      </c>
      <c r="M387" s="689" t="s">
        <v>738</v>
      </c>
      <c r="N387" s="690"/>
      <c r="O387" s="690"/>
      <c r="P387" s="690"/>
      <c r="Q387" s="691"/>
      <c r="S387" s="30">
        <v>129</v>
      </c>
      <c r="T387" s="698" t="s">
        <v>739</v>
      </c>
      <c r="U387" s="699"/>
      <c r="V387" s="699"/>
      <c r="W387" s="699"/>
      <c r="X387" s="700"/>
      <c r="Y387" s="707" t="s">
        <v>740</v>
      </c>
      <c r="AA387" s="30">
        <v>129</v>
      </c>
      <c r="AB387" s="710" t="s">
        <v>741</v>
      </c>
      <c r="AC387" s="711"/>
      <c r="AD387" s="711"/>
      <c r="AE387" s="711"/>
      <c r="AF387" s="712"/>
    </row>
    <row r="388" spans="1:32" ht="15.75" x14ac:dyDescent="0.25">
      <c r="A388" s="33"/>
      <c r="B388" s="82"/>
      <c r="C388" s="40"/>
      <c r="D388" s="683"/>
      <c r="E388" s="719"/>
      <c r="F388" s="719"/>
      <c r="G388" s="719"/>
      <c r="H388" s="719"/>
      <c r="I388" s="719"/>
      <c r="J388" s="685"/>
      <c r="L388" s="33"/>
      <c r="M388" s="692"/>
      <c r="N388" s="720"/>
      <c r="O388" s="720"/>
      <c r="P388" s="720"/>
      <c r="Q388" s="694"/>
      <c r="S388" s="33"/>
      <c r="T388" s="701"/>
      <c r="U388" s="721"/>
      <c r="V388" s="721"/>
      <c r="W388" s="721"/>
      <c r="X388" s="703"/>
      <c r="Y388" s="708"/>
      <c r="Z388" s="29"/>
      <c r="AA388" s="33"/>
      <c r="AB388" s="713"/>
      <c r="AC388" s="722"/>
      <c r="AD388" s="722"/>
      <c r="AE388" s="722"/>
      <c r="AF388" s="715"/>
    </row>
    <row r="389" spans="1:32" ht="15.75" x14ac:dyDescent="0.25">
      <c r="A389" s="32"/>
      <c r="B389" s="82"/>
      <c r="C389" s="40"/>
      <c r="D389" s="686"/>
      <c r="E389" s="687"/>
      <c r="F389" s="687"/>
      <c r="G389" s="687"/>
      <c r="H389" s="687"/>
      <c r="I389" s="687"/>
      <c r="J389" s="688"/>
      <c r="L389" s="32"/>
      <c r="M389" s="695"/>
      <c r="N389" s="696"/>
      <c r="O389" s="696"/>
      <c r="P389" s="696"/>
      <c r="Q389" s="697"/>
      <c r="S389" s="32"/>
      <c r="T389" s="704"/>
      <c r="U389" s="705"/>
      <c r="V389" s="705"/>
      <c r="W389" s="705"/>
      <c r="X389" s="706"/>
      <c r="Y389" s="709"/>
      <c r="Z389" s="29"/>
      <c r="AA389" s="32"/>
      <c r="AB389" s="716"/>
      <c r="AC389" s="717"/>
      <c r="AD389" s="717"/>
      <c r="AE389" s="717"/>
      <c r="AF389" s="718"/>
    </row>
    <row r="390" spans="1:32" ht="15.75" customHeight="1" x14ac:dyDescent="0.25">
      <c r="A390" s="30">
        <v>130</v>
      </c>
      <c r="B390" s="81" t="s">
        <v>461</v>
      </c>
      <c r="C390" s="26" t="s">
        <v>343</v>
      </c>
      <c r="D390" s="680" t="s">
        <v>742</v>
      </c>
      <c r="E390" s="681"/>
      <c r="F390" s="681"/>
      <c r="G390" s="681"/>
      <c r="H390" s="681"/>
      <c r="I390" s="681"/>
      <c r="J390" s="682"/>
      <c r="L390" s="30">
        <v>130</v>
      </c>
      <c r="M390" s="689" t="s">
        <v>743</v>
      </c>
      <c r="N390" s="690"/>
      <c r="O390" s="690"/>
      <c r="P390" s="690"/>
      <c r="Q390" s="691"/>
      <c r="S390" s="30">
        <v>130</v>
      </c>
      <c r="T390" s="698" t="s">
        <v>744</v>
      </c>
      <c r="U390" s="699"/>
      <c r="V390" s="699"/>
      <c r="W390" s="699"/>
      <c r="X390" s="700"/>
      <c r="Y390" s="707" t="s">
        <v>745</v>
      </c>
      <c r="AA390" s="30">
        <v>130</v>
      </c>
      <c r="AB390" s="710" t="s">
        <v>746</v>
      </c>
      <c r="AC390" s="711"/>
      <c r="AD390" s="711"/>
      <c r="AE390" s="711"/>
      <c r="AF390" s="712"/>
    </row>
    <row r="391" spans="1:32" ht="15.75" x14ac:dyDescent="0.25">
      <c r="A391" s="33"/>
      <c r="B391" s="82"/>
      <c r="C391" s="40"/>
      <c r="D391" s="683"/>
      <c r="E391" s="719"/>
      <c r="F391" s="719"/>
      <c r="G391" s="719"/>
      <c r="H391" s="719"/>
      <c r="I391" s="719"/>
      <c r="J391" s="685"/>
      <c r="L391" s="33"/>
      <c r="M391" s="692"/>
      <c r="N391" s="720"/>
      <c r="O391" s="720"/>
      <c r="P391" s="720"/>
      <c r="Q391" s="694"/>
      <c r="S391" s="33"/>
      <c r="T391" s="701"/>
      <c r="U391" s="721"/>
      <c r="V391" s="721"/>
      <c r="W391" s="721"/>
      <c r="X391" s="703"/>
      <c r="Y391" s="708"/>
      <c r="Z391" s="29"/>
      <c r="AA391" s="33"/>
      <c r="AB391" s="713"/>
      <c r="AC391" s="722"/>
      <c r="AD391" s="722"/>
      <c r="AE391" s="722"/>
      <c r="AF391" s="715"/>
    </row>
    <row r="392" spans="1:32" ht="15.75" x14ac:dyDescent="0.25">
      <c r="A392" s="32"/>
      <c r="B392" s="82"/>
      <c r="C392" s="40"/>
      <c r="D392" s="686"/>
      <c r="E392" s="687"/>
      <c r="F392" s="687"/>
      <c r="G392" s="687"/>
      <c r="H392" s="687"/>
      <c r="I392" s="687"/>
      <c r="J392" s="688"/>
      <c r="L392" s="32"/>
      <c r="M392" s="695"/>
      <c r="N392" s="696"/>
      <c r="O392" s="696"/>
      <c r="P392" s="696"/>
      <c r="Q392" s="697"/>
      <c r="S392" s="32"/>
      <c r="T392" s="704"/>
      <c r="U392" s="705"/>
      <c r="V392" s="705"/>
      <c r="W392" s="705"/>
      <c r="X392" s="706"/>
      <c r="Y392" s="709"/>
      <c r="Z392" s="29"/>
      <c r="AA392" s="32"/>
      <c r="AB392" s="716"/>
      <c r="AC392" s="717"/>
      <c r="AD392" s="717"/>
      <c r="AE392" s="717"/>
      <c r="AF392" s="718"/>
    </row>
    <row r="393" spans="1:32" ht="15.75" customHeight="1" x14ac:dyDescent="0.25">
      <c r="A393" s="30">
        <v>131</v>
      </c>
      <c r="B393" s="81" t="s">
        <v>487</v>
      </c>
      <c r="C393" s="26" t="s">
        <v>747</v>
      </c>
      <c r="D393" s="680" t="s">
        <v>748</v>
      </c>
      <c r="E393" s="681"/>
      <c r="F393" s="681"/>
      <c r="G393" s="681"/>
      <c r="H393" s="681"/>
      <c r="I393" s="681"/>
      <c r="J393" s="682"/>
      <c r="L393" s="30">
        <v>131</v>
      </c>
      <c r="M393" s="689" t="s">
        <v>749</v>
      </c>
      <c r="N393" s="690"/>
      <c r="O393" s="690"/>
      <c r="P393" s="690"/>
      <c r="Q393" s="691"/>
      <c r="S393" s="30">
        <v>131</v>
      </c>
      <c r="T393" s="698" t="s">
        <v>750</v>
      </c>
      <c r="U393" s="699"/>
      <c r="V393" s="699"/>
      <c r="W393" s="699"/>
      <c r="X393" s="700"/>
      <c r="Y393" s="707" t="s">
        <v>751</v>
      </c>
      <c r="AA393" s="30">
        <v>131</v>
      </c>
      <c r="AB393" s="710" t="s">
        <v>752</v>
      </c>
      <c r="AC393" s="711"/>
      <c r="AD393" s="711"/>
      <c r="AE393" s="711"/>
      <c r="AF393" s="712"/>
    </row>
    <row r="394" spans="1:32" ht="15.75" x14ac:dyDescent="0.25">
      <c r="A394" s="33"/>
      <c r="B394" s="82"/>
      <c r="C394" s="40"/>
      <c r="D394" s="683"/>
      <c r="E394" s="719"/>
      <c r="F394" s="719"/>
      <c r="G394" s="719"/>
      <c r="H394" s="719"/>
      <c r="I394" s="719"/>
      <c r="J394" s="685"/>
      <c r="L394" s="33"/>
      <c r="M394" s="692"/>
      <c r="N394" s="720"/>
      <c r="O394" s="720"/>
      <c r="P394" s="720"/>
      <c r="Q394" s="694"/>
      <c r="S394" s="33"/>
      <c r="T394" s="701"/>
      <c r="U394" s="721"/>
      <c r="V394" s="721"/>
      <c r="W394" s="721"/>
      <c r="X394" s="703"/>
      <c r="Y394" s="708"/>
      <c r="Z394" s="29"/>
      <c r="AA394" s="33"/>
      <c r="AB394" s="713"/>
      <c r="AC394" s="722"/>
      <c r="AD394" s="722"/>
      <c r="AE394" s="722"/>
      <c r="AF394" s="715"/>
    </row>
    <row r="395" spans="1:32" ht="15.75" x14ac:dyDescent="0.25">
      <c r="A395" s="32"/>
      <c r="B395" s="82"/>
      <c r="C395" s="40"/>
      <c r="D395" s="686"/>
      <c r="E395" s="687"/>
      <c r="F395" s="687"/>
      <c r="G395" s="687"/>
      <c r="H395" s="687"/>
      <c r="I395" s="687"/>
      <c r="J395" s="688"/>
      <c r="L395" s="32"/>
      <c r="M395" s="695"/>
      <c r="N395" s="696"/>
      <c r="O395" s="696"/>
      <c r="P395" s="696"/>
      <c r="Q395" s="697"/>
      <c r="S395" s="32"/>
      <c r="T395" s="704"/>
      <c r="U395" s="705"/>
      <c r="V395" s="705"/>
      <c r="W395" s="705"/>
      <c r="X395" s="706"/>
      <c r="Y395" s="709"/>
      <c r="Z395" s="29"/>
      <c r="AA395" s="32"/>
      <c r="AB395" s="716"/>
      <c r="AC395" s="717"/>
      <c r="AD395" s="717"/>
      <c r="AE395" s="717"/>
      <c r="AF395" s="718"/>
    </row>
    <row r="396" spans="1:32" ht="15.75" customHeight="1" x14ac:dyDescent="0.25">
      <c r="A396" s="30">
        <v>132</v>
      </c>
      <c r="B396" s="81" t="s">
        <v>461</v>
      </c>
      <c r="C396" s="26" t="s">
        <v>753</v>
      </c>
      <c r="D396" s="680" t="s">
        <v>754</v>
      </c>
      <c r="E396" s="681"/>
      <c r="F396" s="681"/>
      <c r="G396" s="681"/>
      <c r="H396" s="681"/>
      <c r="I396" s="681"/>
      <c r="J396" s="682"/>
      <c r="L396" s="30">
        <v>132</v>
      </c>
      <c r="M396" s="689" t="s">
        <v>755</v>
      </c>
      <c r="N396" s="690"/>
      <c r="O396" s="690"/>
      <c r="P396" s="690"/>
      <c r="Q396" s="691"/>
      <c r="S396" s="30">
        <v>132</v>
      </c>
      <c r="T396" s="698" t="s">
        <v>756</v>
      </c>
      <c r="U396" s="699"/>
      <c r="V396" s="699"/>
      <c r="W396" s="699"/>
      <c r="X396" s="700"/>
      <c r="Y396" s="707" t="s">
        <v>757</v>
      </c>
      <c r="AA396" s="30">
        <v>132</v>
      </c>
      <c r="AB396" s="710" t="s">
        <v>758</v>
      </c>
      <c r="AC396" s="711"/>
      <c r="AD396" s="711"/>
      <c r="AE396" s="711"/>
      <c r="AF396" s="712"/>
    </row>
    <row r="397" spans="1:32" ht="15.75" x14ac:dyDescent="0.25">
      <c r="A397" s="33"/>
      <c r="B397" s="82"/>
      <c r="C397" s="40"/>
      <c r="D397" s="683"/>
      <c r="E397" s="719"/>
      <c r="F397" s="719"/>
      <c r="G397" s="719"/>
      <c r="H397" s="719"/>
      <c r="I397" s="719"/>
      <c r="J397" s="685"/>
      <c r="L397" s="33"/>
      <c r="M397" s="692"/>
      <c r="N397" s="720"/>
      <c r="O397" s="720"/>
      <c r="P397" s="720"/>
      <c r="Q397" s="694"/>
      <c r="S397" s="33"/>
      <c r="T397" s="701"/>
      <c r="U397" s="721"/>
      <c r="V397" s="721"/>
      <c r="W397" s="721"/>
      <c r="X397" s="703"/>
      <c r="Y397" s="708"/>
      <c r="Z397" s="29"/>
      <c r="AA397" s="33"/>
      <c r="AB397" s="713"/>
      <c r="AC397" s="722"/>
      <c r="AD397" s="722"/>
      <c r="AE397" s="722"/>
      <c r="AF397" s="715"/>
    </row>
    <row r="398" spans="1:32" ht="15.75" x14ac:dyDescent="0.25">
      <c r="A398" s="32"/>
      <c r="B398" s="82"/>
      <c r="C398" s="40"/>
      <c r="D398" s="686"/>
      <c r="E398" s="687"/>
      <c r="F398" s="687"/>
      <c r="G398" s="687"/>
      <c r="H398" s="687"/>
      <c r="I398" s="687"/>
      <c r="J398" s="688"/>
      <c r="L398" s="32"/>
      <c r="M398" s="695"/>
      <c r="N398" s="696"/>
      <c r="O398" s="696"/>
      <c r="P398" s="696"/>
      <c r="Q398" s="697"/>
      <c r="S398" s="32"/>
      <c r="T398" s="704"/>
      <c r="U398" s="705"/>
      <c r="V398" s="705"/>
      <c r="W398" s="705"/>
      <c r="X398" s="706"/>
      <c r="Y398" s="709"/>
      <c r="Z398" s="29"/>
      <c r="AA398" s="32"/>
      <c r="AB398" s="716"/>
      <c r="AC398" s="717"/>
      <c r="AD398" s="717"/>
      <c r="AE398" s="717"/>
      <c r="AF398" s="718"/>
    </row>
    <row r="399" spans="1:32" ht="15.75" customHeight="1" x14ac:dyDescent="0.25">
      <c r="A399" s="30">
        <v>133</v>
      </c>
      <c r="B399" s="81" t="s">
        <v>461</v>
      </c>
      <c r="C399" s="26" t="s">
        <v>759</v>
      </c>
      <c r="D399" s="680" t="s">
        <v>760</v>
      </c>
      <c r="E399" s="681"/>
      <c r="F399" s="681"/>
      <c r="G399" s="681"/>
      <c r="H399" s="681"/>
      <c r="I399" s="681"/>
      <c r="J399" s="682"/>
      <c r="L399" s="30">
        <v>133</v>
      </c>
      <c r="M399" s="689" t="s">
        <v>239</v>
      </c>
      <c r="N399" s="690"/>
      <c r="O399" s="690"/>
      <c r="P399" s="690"/>
      <c r="Q399" s="691"/>
      <c r="S399" s="30">
        <v>133</v>
      </c>
      <c r="T399" s="698" t="s">
        <v>761</v>
      </c>
      <c r="U399" s="699"/>
      <c r="V399" s="699"/>
      <c r="W399" s="699"/>
      <c r="X399" s="700"/>
      <c r="Y399" s="707" t="s">
        <v>241</v>
      </c>
      <c r="AA399" s="30">
        <v>133</v>
      </c>
      <c r="AB399" s="710" t="s">
        <v>762</v>
      </c>
      <c r="AC399" s="711"/>
      <c r="AD399" s="711"/>
      <c r="AE399" s="711"/>
      <c r="AF399" s="712"/>
    </row>
    <row r="400" spans="1:32" ht="15.75" x14ac:dyDescent="0.25">
      <c r="A400" s="33"/>
      <c r="B400" s="82"/>
      <c r="C400" s="40"/>
      <c r="D400" s="683"/>
      <c r="E400" s="719"/>
      <c r="F400" s="719"/>
      <c r="G400" s="719"/>
      <c r="H400" s="719"/>
      <c r="I400" s="719"/>
      <c r="J400" s="685"/>
      <c r="L400" s="33"/>
      <c r="M400" s="692"/>
      <c r="N400" s="720"/>
      <c r="O400" s="720"/>
      <c r="P400" s="720"/>
      <c r="Q400" s="694"/>
      <c r="S400" s="33"/>
      <c r="T400" s="701"/>
      <c r="U400" s="721"/>
      <c r="V400" s="721"/>
      <c r="W400" s="721"/>
      <c r="X400" s="703"/>
      <c r="Y400" s="708"/>
      <c r="Z400" s="29"/>
      <c r="AA400" s="33"/>
      <c r="AB400" s="713"/>
      <c r="AC400" s="722"/>
      <c r="AD400" s="722"/>
      <c r="AE400" s="722"/>
      <c r="AF400" s="715"/>
    </row>
    <row r="401" spans="1:32" ht="15.75" x14ac:dyDescent="0.25">
      <c r="A401" s="32"/>
      <c r="B401" s="82"/>
      <c r="C401" s="40"/>
      <c r="D401" s="686"/>
      <c r="E401" s="687"/>
      <c r="F401" s="687"/>
      <c r="G401" s="687"/>
      <c r="H401" s="687"/>
      <c r="I401" s="687"/>
      <c r="J401" s="688"/>
      <c r="L401" s="32"/>
      <c r="M401" s="695"/>
      <c r="N401" s="696"/>
      <c r="O401" s="696"/>
      <c r="P401" s="696"/>
      <c r="Q401" s="697"/>
      <c r="S401" s="32"/>
      <c r="T401" s="704"/>
      <c r="U401" s="705"/>
      <c r="V401" s="705"/>
      <c r="W401" s="705"/>
      <c r="X401" s="706"/>
      <c r="Y401" s="709"/>
      <c r="Z401" s="29"/>
      <c r="AA401" s="32"/>
      <c r="AB401" s="716"/>
      <c r="AC401" s="717"/>
      <c r="AD401" s="717"/>
      <c r="AE401" s="717"/>
      <c r="AF401" s="718"/>
    </row>
    <row r="402" spans="1:32" ht="15.75" customHeight="1" x14ac:dyDescent="0.25">
      <c r="A402" s="30">
        <v>134</v>
      </c>
      <c r="B402" s="81" t="s">
        <v>461</v>
      </c>
      <c r="C402" s="26" t="s">
        <v>763</v>
      </c>
      <c r="D402" s="680" t="s">
        <v>764</v>
      </c>
      <c r="E402" s="681"/>
      <c r="F402" s="681"/>
      <c r="G402" s="681"/>
      <c r="H402" s="681"/>
      <c r="I402" s="681"/>
      <c r="J402" s="682"/>
      <c r="L402" s="30">
        <v>134</v>
      </c>
      <c r="M402" s="689" t="s">
        <v>765</v>
      </c>
      <c r="N402" s="690"/>
      <c r="O402" s="690"/>
      <c r="P402" s="690"/>
      <c r="Q402" s="691"/>
      <c r="S402" s="30">
        <v>134</v>
      </c>
      <c r="T402" s="698" t="s">
        <v>766</v>
      </c>
      <c r="U402" s="699"/>
      <c r="V402" s="699"/>
      <c r="W402" s="699"/>
      <c r="X402" s="700"/>
      <c r="Y402" s="707" t="s">
        <v>767</v>
      </c>
      <c r="AA402" s="30">
        <v>134</v>
      </c>
      <c r="AB402" s="710" t="s">
        <v>768</v>
      </c>
      <c r="AC402" s="711"/>
      <c r="AD402" s="711"/>
      <c r="AE402" s="711"/>
      <c r="AF402" s="712"/>
    </row>
    <row r="403" spans="1:32" ht="15.75" x14ac:dyDescent="0.25">
      <c r="A403" s="33"/>
      <c r="B403" s="82"/>
      <c r="C403" s="40"/>
      <c r="D403" s="683"/>
      <c r="E403" s="719"/>
      <c r="F403" s="719"/>
      <c r="G403" s="719"/>
      <c r="H403" s="719"/>
      <c r="I403" s="719"/>
      <c r="J403" s="685"/>
      <c r="L403" s="33"/>
      <c r="M403" s="692"/>
      <c r="N403" s="720"/>
      <c r="O403" s="720"/>
      <c r="P403" s="720"/>
      <c r="Q403" s="694"/>
      <c r="S403" s="33"/>
      <c r="T403" s="701"/>
      <c r="U403" s="721"/>
      <c r="V403" s="721"/>
      <c r="W403" s="721"/>
      <c r="X403" s="703"/>
      <c r="Y403" s="708"/>
      <c r="Z403" s="29"/>
      <c r="AA403" s="33"/>
      <c r="AB403" s="713"/>
      <c r="AC403" s="722"/>
      <c r="AD403" s="722"/>
      <c r="AE403" s="722"/>
      <c r="AF403" s="715"/>
    </row>
    <row r="404" spans="1:32" ht="15.75" x14ac:dyDescent="0.25">
      <c r="A404" s="32"/>
      <c r="B404" s="82"/>
      <c r="C404" s="40"/>
      <c r="D404" s="686"/>
      <c r="E404" s="687"/>
      <c r="F404" s="687"/>
      <c r="G404" s="687"/>
      <c r="H404" s="687"/>
      <c r="I404" s="687"/>
      <c r="J404" s="688"/>
      <c r="L404" s="32"/>
      <c r="M404" s="695"/>
      <c r="N404" s="696"/>
      <c r="O404" s="696"/>
      <c r="P404" s="696"/>
      <c r="Q404" s="697"/>
      <c r="S404" s="32"/>
      <c r="T404" s="704"/>
      <c r="U404" s="705"/>
      <c r="V404" s="705"/>
      <c r="W404" s="705"/>
      <c r="X404" s="706"/>
      <c r="Y404" s="709"/>
      <c r="Z404" s="29"/>
      <c r="AA404" s="32"/>
      <c r="AB404" s="716"/>
      <c r="AC404" s="717"/>
      <c r="AD404" s="717"/>
      <c r="AE404" s="717"/>
      <c r="AF404" s="718"/>
    </row>
    <row r="405" spans="1:32" ht="15.75" customHeight="1" x14ac:dyDescent="0.25">
      <c r="A405" s="30">
        <v>135</v>
      </c>
      <c r="B405" s="81" t="s">
        <v>461</v>
      </c>
      <c r="C405" s="26" t="s">
        <v>769</v>
      </c>
      <c r="D405" s="680" t="s">
        <v>770</v>
      </c>
      <c r="E405" s="681"/>
      <c r="F405" s="681"/>
      <c r="G405" s="681"/>
      <c r="H405" s="681"/>
      <c r="I405" s="681"/>
      <c r="J405" s="682"/>
      <c r="L405" s="30">
        <v>135</v>
      </c>
      <c r="M405" s="689" t="s">
        <v>771</v>
      </c>
      <c r="N405" s="690"/>
      <c r="O405" s="690"/>
      <c r="P405" s="690"/>
      <c r="Q405" s="691"/>
      <c r="S405" s="30">
        <v>135</v>
      </c>
      <c r="T405" s="698" t="s">
        <v>772</v>
      </c>
      <c r="U405" s="699"/>
      <c r="V405" s="699"/>
      <c r="W405" s="699"/>
      <c r="X405" s="700"/>
      <c r="Y405" s="707" t="s">
        <v>773</v>
      </c>
      <c r="AA405" s="30">
        <v>135</v>
      </c>
      <c r="AB405" s="710" t="s">
        <v>774</v>
      </c>
      <c r="AC405" s="711"/>
      <c r="AD405" s="711"/>
      <c r="AE405" s="711"/>
      <c r="AF405" s="712"/>
    </row>
    <row r="406" spans="1:32" ht="15.75" x14ac:dyDescent="0.25">
      <c r="A406" s="33"/>
      <c r="B406" s="82"/>
      <c r="C406" s="40"/>
      <c r="D406" s="683"/>
      <c r="E406" s="719"/>
      <c r="F406" s="719"/>
      <c r="G406" s="719"/>
      <c r="H406" s="719"/>
      <c r="I406" s="719"/>
      <c r="J406" s="685"/>
      <c r="L406" s="33"/>
      <c r="M406" s="692"/>
      <c r="N406" s="720"/>
      <c r="O406" s="720"/>
      <c r="P406" s="720"/>
      <c r="Q406" s="694"/>
      <c r="S406" s="33"/>
      <c r="T406" s="701"/>
      <c r="U406" s="721"/>
      <c r="V406" s="721"/>
      <c r="W406" s="721"/>
      <c r="X406" s="703"/>
      <c r="Y406" s="708"/>
      <c r="Z406" s="29"/>
      <c r="AA406" s="33"/>
      <c r="AB406" s="713"/>
      <c r="AC406" s="722"/>
      <c r="AD406" s="722"/>
      <c r="AE406" s="722"/>
      <c r="AF406" s="715"/>
    </row>
    <row r="407" spans="1:32" ht="15.75" x14ac:dyDescent="0.25">
      <c r="A407" s="32"/>
      <c r="B407" s="82"/>
      <c r="C407" s="40"/>
      <c r="D407" s="686"/>
      <c r="E407" s="687"/>
      <c r="F407" s="687"/>
      <c r="G407" s="687"/>
      <c r="H407" s="687"/>
      <c r="I407" s="687"/>
      <c r="J407" s="688"/>
      <c r="L407" s="32"/>
      <c r="M407" s="695"/>
      <c r="N407" s="696"/>
      <c r="O407" s="696"/>
      <c r="P407" s="696"/>
      <c r="Q407" s="697"/>
      <c r="S407" s="32"/>
      <c r="T407" s="704"/>
      <c r="U407" s="705"/>
      <c r="V407" s="705"/>
      <c r="W407" s="705"/>
      <c r="X407" s="706"/>
      <c r="Y407" s="709"/>
      <c r="Z407" s="29"/>
      <c r="AA407" s="32"/>
      <c r="AB407" s="716"/>
      <c r="AC407" s="717"/>
      <c r="AD407" s="717"/>
      <c r="AE407" s="717"/>
      <c r="AF407" s="718"/>
    </row>
    <row r="408" spans="1:32" ht="15.75" customHeight="1" x14ac:dyDescent="0.25">
      <c r="A408" s="30">
        <v>136</v>
      </c>
      <c r="B408" s="81" t="s">
        <v>461</v>
      </c>
      <c r="C408" s="26" t="s">
        <v>385</v>
      </c>
      <c r="D408" s="680" t="s">
        <v>775</v>
      </c>
      <c r="E408" s="681"/>
      <c r="F408" s="681"/>
      <c r="G408" s="681"/>
      <c r="H408" s="681"/>
      <c r="I408" s="681"/>
      <c r="J408" s="682"/>
      <c r="L408" s="30">
        <v>136</v>
      </c>
      <c r="M408" s="689" t="s">
        <v>776</v>
      </c>
      <c r="N408" s="690"/>
      <c r="O408" s="690"/>
      <c r="P408" s="690"/>
      <c r="Q408" s="691"/>
      <c r="S408" s="30">
        <v>136</v>
      </c>
      <c r="T408" s="698" t="s">
        <v>388</v>
      </c>
      <c r="U408" s="699"/>
      <c r="V408" s="699"/>
      <c r="W408" s="699"/>
      <c r="X408" s="700"/>
      <c r="Y408" s="707" t="s">
        <v>777</v>
      </c>
      <c r="AA408" s="30">
        <v>136</v>
      </c>
      <c r="AB408" s="710" t="s">
        <v>778</v>
      </c>
      <c r="AC408" s="711"/>
      <c r="AD408" s="711"/>
      <c r="AE408" s="711"/>
      <c r="AF408" s="712"/>
    </row>
    <row r="409" spans="1:32" ht="15.75" x14ac:dyDescent="0.25">
      <c r="A409" s="33"/>
      <c r="B409" s="82"/>
      <c r="C409" s="40"/>
      <c r="D409" s="683"/>
      <c r="E409" s="719"/>
      <c r="F409" s="719"/>
      <c r="G409" s="719"/>
      <c r="H409" s="719"/>
      <c r="I409" s="719"/>
      <c r="J409" s="685"/>
      <c r="L409" s="33"/>
      <c r="M409" s="692"/>
      <c r="N409" s="720"/>
      <c r="O409" s="720"/>
      <c r="P409" s="720"/>
      <c r="Q409" s="694"/>
      <c r="S409" s="33"/>
      <c r="T409" s="701"/>
      <c r="U409" s="721"/>
      <c r="V409" s="721"/>
      <c r="W409" s="721"/>
      <c r="X409" s="703"/>
      <c r="Y409" s="708"/>
      <c r="Z409" s="29"/>
      <c r="AA409" s="33"/>
      <c r="AB409" s="713"/>
      <c r="AC409" s="722"/>
      <c r="AD409" s="722"/>
      <c r="AE409" s="722"/>
      <c r="AF409" s="715"/>
    </row>
    <row r="410" spans="1:32" ht="15.75" x14ac:dyDescent="0.25">
      <c r="A410" s="32"/>
      <c r="B410" s="82"/>
      <c r="C410" s="40"/>
      <c r="D410" s="686"/>
      <c r="E410" s="687"/>
      <c r="F410" s="687"/>
      <c r="G410" s="687"/>
      <c r="H410" s="687"/>
      <c r="I410" s="687"/>
      <c r="J410" s="688"/>
      <c r="L410" s="32"/>
      <c r="M410" s="695"/>
      <c r="N410" s="696"/>
      <c r="O410" s="696"/>
      <c r="P410" s="696"/>
      <c r="Q410" s="697"/>
      <c r="S410" s="32"/>
      <c r="T410" s="704"/>
      <c r="U410" s="705"/>
      <c r="V410" s="705"/>
      <c r="W410" s="705"/>
      <c r="X410" s="706"/>
      <c r="Y410" s="709"/>
      <c r="Z410" s="29"/>
      <c r="AA410" s="32"/>
      <c r="AB410" s="716"/>
      <c r="AC410" s="717"/>
      <c r="AD410" s="717"/>
      <c r="AE410" s="717"/>
      <c r="AF410" s="718"/>
    </row>
    <row r="411" spans="1:32" ht="15.75" customHeight="1" x14ac:dyDescent="0.25">
      <c r="A411" s="30">
        <v>137</v>
      </c>
      <c r="B411" s="81" t="s">
        <v>461</v>
      </c>
      <c r="C411" s="26" t="s">
        <v>391</v>
      </c>
      <c r="D411" s="680" t="s">
        <v>779</v>
      </c>
      <c r="E411" s="681"/>
      <c r="F411" s="681"/>
      <c r="G411" s="681"/>
      <c r="H411" s="681"/>
      <c r="I411" s="681"/>
      <c r="J411" s="682"/>
      <c r="L411" s="30">
        <v>137</v>
      </c>
      <c r="M411" s="689" t="s">
        <v>780</v>
      </c>
      <c r="N411" s="690"/>
      <c r="O411" s="690"/>
      <c r="P411" s="690"/>
      <c r="Q411" s="691"/>
      <c r="S411" s="30">
        <v>137</v>
      </c>
      <c r="T411" s="698" t="s">
        <v>394</v>
      </c>
      <c r="U411" s="699"/>
      <c r="V411" s="699"/>
      <c r="W411" s="699"/>
      <c r="X411" s="700"/>
      <c r="Y411" s="707" t="s">
        <v>781</v>
      </c>
      <c r="AA411" s="30">
        <v>137</v>
      </c>
      <c r="AB411" s="710" t="s">
        <v>782</v>
      </c>
      <c r="AC411" s="711"/>
      <c r="AD411" s="711"/>
      <c r="AE411" s="711"/>
      <c r="AF411" s="712"/>
    </row>
    <row r="412" spans="1:32" ht="15.75" x14ac:dyDescent="0.25">
      <c r="A412" s="33"/>
      <c r="B412" s="82"/>
      <c r="C412" s="40"/>
      <c r="D412" s="683"/>
      <c r="E412" s="719"/>
      <c r="F412" s="719"/>
      <c r="G412" s="719"/>
      <c r="H412" s="719"/>
      <c r="I412" s="719"/>
      <c r="J412" s="685"/>
      <c r="L412" s="33"/>
      <c r="M412" s="692"/>
      <c r="N412" s="720"/>
      <c r="O412" s="720"/>
      <c r="P412" s="720"/>
      <c r="Q412" s="694"/>
      <c r="S412" s="33"/>
      <c r="T412" s="701"/>
      <c r="U412" s="721"/>
      <c r="V412" s="721"/>
      <c r="W412" s="721"/>
      <c r="X412" s="703"/>
      <c r="Y412" s="708"/>
      <c r="Z412" s="29"/>
      <c r="AA412" s="33"/>
      <c r="AB412" s="713"/>
      <c r="AC412" s="722"/>
      <c r="AD412" s="722"/>
      <c r="AE412" s="722"/>
      <c r="AF412" s="715"/>
    </row>
    <row r="413" spans="1:32" ht="15.75" x14ac:dyDescent="0.25">
      <c r="A413" s="32"/>
      <c r="B413" s="82"/>
      <c r="C413" s="40"/>
      <c r="D413" s="686"/>
      <c r="E413" s="687"/>
      <c r="F413" s="687"/>
      <c r="G413" s="687"/>
      <c r="H413" s="687"/>
      <c r="I413" s="687"/>
      <c r="J413" s="688"/>
      <c r="L413" s="32"/>
      <c r="M413" s="695"/>
      <c r="N413" s="696"/>
      <c r="O413" s="696"/>
      <c r="P413" s="696"/>
      <c r="Q413" s="697"/>
      <c r="S413" s="32"/>
      <c r="T413" s="704"/>
      <c r="U413" s="705"/>
      <c r="V413" s="705"/>
      <c r="W413" s="705"/>
      <c r="X413" s="706"/>
      <c r="Y413" s="709"/>
      <c r="Z413" s="29"/>
      <c r="AA413" s="32"/>
      <c r="AB413" s="716"/>
      <c r="AC413" s="717"/>
      <c r="AD413" s="717"/>
      <c r="AE413" s="717"/>
      <c r="AF413" s="718"/>
    </row>
    <row r="414" spans="1:32" ht="15.75" customHeight="1" x14ac:dyDescent="0.25">
      <c r="A414" s="30">
        <v>138</v>
      </c>
      <c r="B414" s="81" t="s">
        <v>461</v>
      </c>
      <c r="C414" s="26" t="s">
        <v>783</v>
      </c>
      <c r="D414" s="680" t="s">
        <v>784</v>
      </c>
      <c r="E414" s="681"/>
      <c r="F414" s="681"/>
      <c r="G414" s="681"/>
      <c r="H414" s="681"/>
      <c r="I414" s="681"/>
      <c r="J414" s="682"/>
      <c r="L414" s="30">
        <v>138</v>
      </c>
      <c r="M414" s="689" t="s">
        <v>785</v>
      </c>
      <c r="N414" s="690"/>
      <c r="O414" s="690"/>
      <c r="P414" s="690"/>
      <c r="Q414" s="691"/>
      <c r="S414" s="30">
        <v>138</v>
      </c>
      <c r="T414" s="698" t="s">
        <v>786</v>
      </c>
      <c r="U414" s="699"/>
      <c r="V414" s="699"/>
      <c r="W414" s="699"/>
      <c r="X414" s="700"/>
      <c r="Y414" s="707" t="s">
        <v>787</v>
      </c>
      <c r="AA414" s="30">
        <v>138</v>
      </c>
      <c r="AB414" s="710" t="s">
        <v>788</v>
      </c>
      <c r="AC414" s="711"/>
      <c r="AD414" s="711"/>
      <c r="AE414" s="711"/>
      <c r="AF414" s="712"/>
    </row>
    <row r="415" spans="1:32" ht="15.75" x14ac:dyDescent="0.25">
      <c r="A415" s="33"/>
      <c r="B415" s="82"/>
      <c r="C415" s="40"/>
      <c r="D415" s="683"/>
      <c r="E415" s="719"/>
      <c r="F415" s="719"/>
      <c r="G415" s="719"/>
      <c r="H415" s="719"/>
      <c r="I415" s="719"/>
      <c r="J415" s="685"/>
      <c r="L415" s="33"/>
      <c r="M415" s="692"/>
      <c r="N415" s="720"/>
      <c r="O415" s="720"/>
      <c r="P415" s="720"/>
      <c r="Q415" s="694"/>
      <c r="S415" s="33"/>
      <c r="T415" s="701"/>
      <c r="U415" s="721"/>
      <c r="V415" s="721"/>
      <c r="W415" s="721"/>
      <c r="X415" s="703"/>
      <c r="Y415" s="708"/>
      <c r="Z415" s="29"/>
      <c r="AA415" s="33"/>
      <c r="AB415" s="713"/>
      <c r="AC415" s="722"/>
      <c r="AD415" s="722"/>
      <c r="AE415" s="722"/>
      <c r="AF415" s="715"/>
    </row>
    <row r="416" spans="1:32" ht="15.75" x14ac:dyDescent="0.25">
      <c r="A416" s="32"/>
      <c r="B416" s="82"/>
      <c r="C416" s="40"/>
      <c r="D416" s="686"/>
      <c r="E416" s="687"/>
      <c r="F416" s="687"/>
      <c r="G416" s="687"/>
      <c r="H416" s="687"/>
      <c r="I416" s="687"/>
      <c r="J416" s="688"/>
      <c r="L416" s="32"/>
      <c r="M416" s="695"/>
      <c r="N416" s="696"/>
      <c r="O416" s="696"/>
      <c r="P416" s="696"/>
      <c r="Q416" s="697"/>
      <c r="S416" s="32"/>
      <c r="T416" s="704"/>
      <c r="U416" s="705"/>
      <c r="V416" s="705"/>
      <c r="W416" s="705"/>
      <c r="X416" s="706"/>
      <c r="Y416" s="709"/>
      <c r="Z416" s="29"/>
      <c r="AA416" s="32"/>
      <c r="AB416" s="716"/>
      <c r="AC416" s="717"/>
      <c r="AD416" s="717"/>
      <c r="AE416" s="717"/>
      <c r="AF416" s="718"/>
    </row>
    <row r="417" spans="1:32" ht="15.75" customHeight="1" x14ac:dyDescent="0.25">
      <c r="A417" s="30">
        <v>139</v>
      </c>
      <c r="B417" s="81" t="s">
        <v>461</v>
      </c>
      <c r="C417" s="26" t="s">
        <v>789</v>
      </c>
      <c r="D417" s="680" t="s">
        <v>790</v>
      </c>
      <c r="E417" s="681"/>
      <c r="F417" s="681"/>
      <c r="G417" s="681"/>
      <c r="H417" s="681"/>
      <c r="I417" s="681"/>
      <c r="J417" s="682"/>
      <c r="L417" s="30">
        <v>139</v>
      </c>
      <c r="M417" s="689" t="s">
        <v>791</v>
      </c>
      <c r="N417" s="690"/>
      <c r="O417" s="690"/>
      <c r="P417" s="690"/>
      <c r="Q417" s="691"/>
      <c r="S417" s="30">
        <v>139</v>
      </c>
      <c r="T417" s="698" t="s">
        <v>792</v>
      </c>
      <c r="U417" s="699"/>
      <c r="V417" s="699"/>
      <c r="W417" s="699"/>
      <c r="X417" s="700"/>
      <c r="Y417" s="707" t="s">
        <v>793</v>
      </c>
      <c r="AA417" s="30">
        <v>139</v>
      </c>
      <c r="AB417" s="710" t="s">
        <v>794</v>
      </c>
      <c r="AC417" s="711"/>
      <c r="AD417" s="711"/>
      <c r="AE417" s="711"/>
      <c r="AF417" s="712"/>
    </row>
    <row r="418" spans="1:32" ht="15.75" x14ac:dyDescent="0.25">
      <c r="A418" s="33"/>
      <c r="B418" s="82"/>
      <c r="C418" s="40"/>
      <c r="D418" s="683"/>
      <c r="E418" s="719"/>
      <c r="F418" s="719"/>
      <c r="G418" s="719"/>
      <c r="H418" s="719"/>
      <c r="I418" s="719"/>
      <c r="J418" s="685"/>
      <c r="L418" s="33"/>
      <c r="M418" s="692"/>
      <c r="N418" s="720"/>
      <c r="O418" s="720"/>
      <c r="P418" s="720"/>
      <c r="Q418" s="694"/>
      <c r="S418" s="33"/>
      <c r="T418" s="701"/>
      <c r="U418" s="721"/>
      <c r="V418" s="721"/>
      <c r="W418" s="721"/>
      <c r="X418" s="703"/>
      <c r="Y418" s="708"/>
      <c r="Z418" s="29"/>
      <c r="AA418" s="33"/>
      <c r="AB418" s="713"/>
      <c r="AC418" s="722"/>
      <c r="AD418" s="722"/>
      <c r="AE418" s="722"/>
      <c r="AF418" s="715"/>
    </row>
    <row r="419" spans="1:32" ht="15.75" x14ac:dyDescent="0.25">
      <c r="A419" s="32"/>
      <c r="B419" s="82"/>
      <c r="C419" s="40"/>
      <c r="D419" s="686"/>
      <c r="E419" s="687"/>
      <c r="F419" s="687"/>
      <c r="G419" s="687"/>
      <c r="H419" s="687"/>
      <c r="I419" s="687"/>
      <c r="J419" s="688"/>
      <c r="L419" s="32"/>
      <c r="M419" s="695"/>
      <c r="N419" s="696"/>
      <c r="O419" s="696"/>
      <c r="P419" s="696"/>
      <c r="Q419" s="697"/>
      <c r="S419" s="32"/>
      <c r="T419" s="704"/>
      <c r="U419" s="705"/>
      <c r="V419" s="705"/>
      <c r="W419" s="705"/>
      <c r="X419" s="706"/>
      <c r="Y419" s="709"/>
      <c r="Z419" s="29"/>
      <c r="AA419" s="32"/>
      <c r="AB419" s="716"/>
      <c r="AC419" s="717"/>
      <c r="AD419" s="717"/>
      <c r="AE419" s="717"/>
      <c r="AF419" s="718"/>
    </row>
    <row r="420" spans="1:32" ht="15.75" customHeight="1" x14ac:dyDescent="0.25">
      <c r="A420" s="30">
        <v>140</v>
      </c>
      <c r="B420" s="81" t="s">
        <v>461</v>
      </c>
      <c r="C420" s="26" t="s">
        <v>403</v>
      </c>
      <c r="D420" s="680" t="s">
        <v>795</v>
      </c>
      <c r="E420" s="681"/>
      <c r="F420" s="681"/>
      <c r="G420" s="681"/>
      <c r="H420" s="681"/>
      <c r="I420" s="681"/>
      <c r="J420" s="682"/>
      <c r="L420" s="30">
        <v>140</v>
      </c>
      <c r="M420" s="689" t="s">
        <v>796</v>
      </c>
      <c r="N420" s="690"/>
      <c r="O420" s="690"/>
      <c r="P420" s="690"/>
      <c r="Q420" s="691"/>
      <c r="S420" s="30">
        <v>140</v>
      </c>
      <c r="T420" s="698" t="s">
        <v>406</v>
      </c>
      <c r="U420" s="699"/>
      <c r="V420" s="699"/>
      <c r="W420" s="699"/>
      <c r="X420" s="700"/>
      <c r="Y420" s="707" t="s">
        <v>797</v>
      </c>
      <c r="AA420" s="30">
        <v>140</v>
      </c>
      <c r="AB420" s="710" t="s">
        <v>798</v>
      </c>
      <c r="AC420" s="711"/>
      <c r="AD420" s="711"/>
      <c r="AE420" s="711"/>
      <c r="AF420" s="712"/>
    </row>
    <row r="421" spans="1:32" ht="15.75" x14ac:dyDescent="0.25">
      <c r="A421" s="33"/>
      <c r="B421" s="82"/>
      <c r="C421" s="40"/>
      <c r="D421" s="683"/>
      <c r="E421" s="719"/>
      <c r="F421" s="719"/>
      <c r="G421" s="719"/>
      <c r="H421" s="719"/>
      <c r="I421" s="719"/>
      <c r="J421" s="685"/>
      <c r="L421" s="33"/>
      <c r="M421" s="692"/>
      <c r="N421" s="720"/>
      <c r="O421" s="720"/>
      <c r="P421" s="720"/>
      <c r="Q421" s="694"/>
      <c r="S421" s="33"/>
      <c r="T421" s="701"/>
      <c r="U421" s="721"/>
      <c r="V421" s="721"/>
      <c r="W421" s="721"/>
      <c r="X421" s="703"/>
      <c r="Y421" s="708"/>
      <c r="Z421" s="29"/>
      <c r="AA421" s="33"/>
      <c r="AB421" s="713"/>
      <c r="AC421" s="722"/>
      <c r="AD421" s="722"/>
      <c r="AE421" s="722"/>
      <c r="AF421" s="715"/>
    </row>
    <row r="422" spans="1:32" ht="15.75" x14ac:dyDescent="0.25">
      <c r="A422" s="32"/>
      <c r="B422" s="82"/>
      <c r="C422" s="40"/>
      <c r="D422" s="686"/>
      <c r="E422" s="687"/>
      <c r="F422" s="687"/>
      <c r="G422" s="687"/>
      <c r="H422" s="687"/>
      <c r="I422" s="687"/>
      <c r="J422" s="688"/>
      <c r="L422" s="32"/>
      <c r="M422" s="695"/>
      <c r="N422" s="696"/>
      <c r="O422" s="696"/>
      <c r="P422" s="696"/>
      <c r="Q422" s="697"/>
      <c r="S422" s="32"/>
      <c r="T422" s="704"/>
      <c r="U422" s="705"/>
      <c r="V422" s="705"/>
      <c r="W422" s="705"/>
      <c r="X422" s="706"/>
      <c r="Y422" s="709"/>
      <c r="Z422" s="29"/>
      <c r="AA422" s="32"/>
      <c r="AB422" s="716"/>
      <c r="AC422" s="717"/>
      <c r="AD422" s="717"/>
      <c r="AE422" s="717"/>
      <c r="AF422" s="718"/>
    </row>
    <row r="423" spans="1:32" ht="15.75" customHeight="1" x14ac:dyDescent="0.25">
      <c r="A423" s="30">
        <v>141</v>
      </c>
      <c r="B423" s="81" t="s">
        <v>461</v>
      </c>
      <c r="C423" s="26" t="s">
        <v>799</v>
      </c>
      <c r="D423" s="680" t="s">
        <v>800</v>
      </c>
      <c r="E423" s="681"/>
      <c r="F423" s="681"/>
      <c r="G423" s="681"/>
      <c r="H423" s="681"/>
      <c r="I423" s="681"/>
      <c r="J423" s="682"/>
      <c r="L423" s="30">
        <v>141</v>
      </c>
      <c r="M423" s="689" t="s">
        <v>801</v>
      </c>
      <c r="N423" s="690"/>
      <c r="O423" s="690"/>
      <c r="P423" s="690"/>
      <c r="Q423" s="691"/>
      <c r="S423" s="30">
        <v>141</v>
      </c>
      <c r="T423" s="698" t="s">
        <v>802</v>
      </c>
      <c r="U423" s="699"/>
      <c r="V423" s="699"/>
      <c r="W423" s="699"/>
      <c r="X423" s="700"/>
      <c r="Y423" s="707" t="s">
        <v>803</v>
      </c>
      <c r="AA423" s="30">
        <v>141</v>
      </c>
      <c r="AB423" s="710" t="s">
        <v>804</v>
      </c>
      <c r="AC423" s="711"/>
      <c r="AD423" s="711"/>
      <c r="AE423" s="711"/>
      <c r="AF423" s="712"/>
    </row>
    <row r="424" spans="1:32" ht="15.75" x14ac:dyDescent="0.25">
      <c r="A424" s="33"/>
      <c r="B424" s="82"/>
      <c r="C424" s="40"/>
      <c r="D424" s="683"/>
      <c r="E424" s="719"/>
      <c r="F424" s="719"/>
      <c r="G424" s="719"/>
      <c r="H424" s="719"/>
      <c r="I424" s="719"/>
      <c r="J424" s="685"/>
      <c r="L424" s="33"/>
      <c r="M424" s="692"/>
      <c r="N424" s="720"/>
      <c r="O424" s="720"/>
      <c r="P424" s="720"/>
      <c r="Q424" s="694"/>
      <c r="S424" s="33"/>
      <c r="T424" s="701"/>
      <c r="U424" s="721"/>
      <c r="V424" s="721"/>
      <c r="W424" s="721"/>
      <c r="X424" s="703"/>
      <c r="Y424" s="708"/>
      <c r="Z424" s="29"/>
      <c r="AA424" s="33"/>
      <c r="AB424" s="713"/>
      <c r="AC424" s="722"/>
      <c r="AD424" s="722"/>
      <c r="AE424" s="722"/>
      <c r="AF424" s="715"/>
    </row>
    <row r="425" spans="1:32" ht="15.75" x14ac:dyDescent="0.25">
      <c r="A425" s="32"/>
      <c r="B425" s="82"/>
      <c r="C425" s="40"/>
      <c r="D425" s="686"/>
      <c r="E425" s="687"/>
      <c r="F425" s="687"/>
      <c r="G425" s="687"/>
      <c r="H425" s="687"/>
      <c r="I425" s="687"/>
      <c r="J425" s="688"/>
      <c r="L425" s="32"/>
      <c r="M425" s="695"/>
      <c r="N425" s="696"/>
      <c r="O425" s="696"/>
      <c r="P425" s="696"/>
      <c r="Q425" s="697"/>
      <c r="S425" s="32"/>
      <c r="T425" s="704"/>
      <c r="U425" s="705"/>
      <c r="V425" s="705"/>
      <c r="W425" s="705"/>
      <c r="X425" s="706"/>
      <c r="Y425" s="709"/>
      <c r="Z425" s="29"/>
      <c r="AA425" s="32"/>
      <c r="AB425" s="716"/>
      <c r="AC425" s="717"/>
      <c r="AD425" s="717"/>
      <c r="AE425" s="717"/>
      <c r="AF425" s="718"/>
    </row>
    <row r="426" spans="1:32" ht="15.75" customHeight="1" x14ac:dyDescent="0.25">
      <c r="A426" s="30">
        <v>142</v>
      </c>
      <c r="B426" s="81" t="s">
        <v>461</v>
      </c>
      <c r="C426" s="26" t="s">
        <v>805</v>
      </c>
      <c r="D426" s="680" t="s">
        <v>806</v>
      </c>
      <c r="E426" s="681"/>
      <c r="F426" s="681"/>
      <c r="G426" s="681"/>
      <c r="H426" s="681"/>
      <c r="I426" s="681"/>
      <c r="J426" s="682"/>
      <c r="L426" s="30">
        <v>142</v>
      </c>
      <c r="M426" s="689" t="s">
        <v>807</v>
      </c>
      <c r="N426" s="690"/>
      <c r="O426" s="690"/>
      <c r="P426" s="690"/>
      <c r="Q426" s="691"/>
      <c r="S426" s="30">
        <v>142</v>
      </c>
      <c r="T426" s="698" t="s">
        <v>808</v>
      </c>
      <c r="U426" s="699"/>
      <c r="V426" s="699"/>
      <c r="W426" s="699"/>
      <c r="X426" s="700"/>
      <c r="Y426" s="707" t="s">
        <v>809</v>
      </c>
      <c r="AA426" s="30">
        <v>142</v>
      </c>
      <c r="AB426" s="710" t="s">
        <v>810</v>
      </c>
      <c r="AC426" s="711"/>
      <c r="AD426" s="711"/>
      <c r="AE426" s="711"/>
      <c r="AF426" s="712"/>
    </row>
    <row r="427" spans="1:32" ht="15.75" x14ac:dyDescent="0.25">
      <c r="A427" s="33"/>
      <c r="B427" s="82"/>
      <c r="C427" s="40"/>
      <c r="D427" s="683"/>
      <c r="E427" s="719"/>
      <c r="F427" s="719"/>
      <c r="G427" s="719"/>
      <c r="H427" s="719"/>
      <c r="I427" s="719"/>
      <c r="J427" s="685"/>
      <c r="L427" s="33"/>
      <c r="M427" s="692"/>
      <c r="N427" s="720"/>
      <c r="O427" s="720"/>
      <c r="P427" s="720"/>
      <c r="Q427" s="694"/>
      <c r="S427" s="33"/>
      <c r="T427" s="701"/>
      <c r="U427" s="721"/>
      <c r="V427" s="721"/>
      <c r="W427" s="721"/>
      <c r="X427" s="703"/>
      <c r="Y427" s="708"/>
      <c r="Z427" s="29"/>
      <c r="AA427" s="33"/>
      <c r="AB427" s="713"/>
      <c r="AC427" s="722"/>
      <c r="AD427" s="722"/>
      <c r="AE427" s="722"/>
      <c r="AF427" s="715"/>
    </row>
    <row r="428" spans="1:32" ht="15.75" x14ac:dyDescent="0.25">
      <c r="A428" s="32"/>
      <c r="B428" s="82"/>
      <c r="C428" s="40"/>
      <c r="D428" s="686"/>
      <c r="E428" s="687"/>
      <c r="F428" s="687"/>
      <c r="G428" s="687"/>
      <c r="H428" s="687"/>
      <c r="I428" s="687"/>
      <c r="J428" s="688"/>
      <c r="L428" s="32"/>
      <c r="M428" s="695"/>
      <c r="N428" s="696"/>
      <c r="O428" s="696"/>
      <c r="P428" s="696"/>
      <c r="Q428" s="697"/>
      <c r="S428" s="32"/>
      <c r="T428" s="704"/>
      <c r="U428" s="705"/>
      <c r="V428" s="705"/>
      <c r="W428" s="705"/>
      <c r="X428" s="706"/>
      <c r="Y428" s="709"/>
      <c r="Z428" s="29"/>
      <c r="AA428" s="32"/>
      <c r="AB428" s="716"/>
      <c r="AC428" s="717"/>
      <c r="AD428" s="717"/>
      <c r="AE428" s="717"/>
      <c r="AF428" s="718"/>
    </row>
    <row r="429" spans="1:32" ht="15.75" customHeight="1" x14ac:dyDescent="0.25">
      <c r="A429" s="30">
        <v>143</v>
      </c>
      <c r="B429" s="81" t="s">
        <v>461</v>
      </c>
      <c r="C429" s="26" t="s">
        <v>811</v>
      </c>
      <c r="D429" s="680" t="s">
        <v>812</v>
      </c>
      <c r="E429" s="681"/>
      <c r="F429" s="681"/>
      <c r="G429" s="681"/>
      <c r="H429" s="681"/>
      <c r="I429" s="681"/>
      <c r="J429" s="682"/>
      <c r="L429" s="30">
        <v>143</v>
      </c>
      <c r="M429" s="689" t="s">
        <v>133</v>
      </c>
      <c r="N429" s="690"/>
      <c r="O429" s="690"/>
      <c r="P429" s="690"/>
      <c r="Q429" s="691"/>
      <c r="S429" s="30">
        <v>143</v>
      </c>
      <c r="T429" s="698" t="s">
        <v>813</v>
      </c>
      <c r="U429" s="699"/>
      <c r="V429" s="699"/>
      <c r="W429" s="699"/>
      <c r="X429" s="700"/>
      <c r="Y429" s="707" t="s">
        <v>135</v>
      </c>
      <c r="AA429" s="30">
        <v>143</v>
      </c>
      <c r="AB429" s="710" t="s">
        <v>814</v>
      </c>
      <c r="AC429" s="711"/>
      <c r="AD429" s="711"/>
      <c r="AE429" s="711"/>
      <c r="AF429" s="712"/>
    </row>
    <row r="430" spans="1:32" ht="15.75" x14ac:dyDescent="0.25">
      <c r="A430" s="33"/>
      <c r="B430" s="82"/>
      <c r="C430" s="40"/>
      <c r="D430" s="683"/>
      <c r="E430" s="719"/>
      <c r="F430" s="719"/>
      <c r="G430" s="719"/>
      <c r="H430" s="719"/>
      <c r="I430" s="719"/>
      <c r="J430" s="685"/>
      <c r="L430" s="33"/>
      <c r="M430" s="692"/>
      <c r="N430" s="720"/>
      <c r="O430" s="720"/>
      <c r="P430" s="720"/>
      <c r="Q430" s="694"/>
      <c r="S430" s="33"/>
      <c r="T430" s="701"/>
      <c r="U430" s="721"/>
      <c r="V430" s="721"/>
      <c r="W430" s="721"/>
      <c r="X430" s="703"/>
      <c r="Y430" s="708"/>
      <c r="Z430" s="29"/>
      <c r="AA430" s="33"/>
      <c r="AB430" s="713"/>
      <c r="AC430" s="722"/>
      <c r="AD430" s="722"/>
      <c r="AE430" s="722"/>
      <c r="AF430" s="715"/>
    </row>
    <row r="431" spans="1:32" ht="15.75" x14ac:dyDescent="0.25">
      <c r="A431" s="32"/>
      <c r="B431" s="82"/>
      <c r="C431" s="40"/>
      <c r="D431" s="686"/>
      <c r="E431" s="687"/>
      <c r="F431" s="687"/>
      <c r="G431" s="687"/>
      <c r="H431" s="687"/>
      <c r="I431" s="687"/>
      <c r="J431" s="688"/>
      <c r="L431" s="32"/>
      <c r="M431" s="695"/>
      <c r="N431" s="696"/>
      <c r="O431" s="696"/>
      <c r="P431" s="696"/>
      <c r="Q431" s="697"/>
      <c r="S431" s="32"/>
      <c r="T431" s="704"/>
      <c r="U431" s="705"/>
      <c r="V431" s="705"/>
      <c r="W431" s="705"/>
      <c r="X431" s="706"/>
      <c r="Y431" s="709"/>
      <c r="Z431" s="29"/>
      <c r="AA431" s="32"/>
      <c r="AB431" s="716"/>
      <c r="AC431" s="717"/>
      <c r="AD431" s="717"/>
      <c r="AE431" s="717"/>
      <c r="AF431" s="718"/>
    </row>
    <row r="432" spans="1:32" ht="15.75" customHeight="1" x14ac:dyDescent="0.25">
      <c r="A432" s="30">
        <v>144</v>
      </c>
      <c r="B432" s="81" t="s">
        <v>487</v>
      </c>
      <c r="C432" s="26" t="s">
        <v>815</v>
      </c>
      <c r="D432" s="680" t="s">
        <v>816</v>
      </c>
      <c r="E432" s="681"/>
      <c r="F432" s="681"/>
      <c r="G432" s="681"/>
      <c r="H432" s="681"/>
      <c r="I432" s="681"/>
      <c r="J432" s="682"/>
      <c r="L432" s="30">
        <v>144</v>
      </c>
      <c r="M432" s="689" t="s">
        <v>817</v>
      </c>
      <c r="N432" s="690"/>
      <c r="O432" s="690"/>
      <c r="P432" s="690"/>
      <c r="Q432" s="691"/>
      <c r="S432" s="30">
        <v>144</v>
      </c>
      <c r="T432" s="698" t="s">
        <v>818</v>
      </c>
      <c r="U432" s="699"/>
      <c r="V432" s="699"/>
      <c r="W432" s="699"/>
      <c r="X432" s="700"/>
      <c r="Y432" s="707" t="s">
        <v>819</v>
      </c>
      <c r="AA432" s="30">
        <v>144</v>
      </c>
      <c r="AB432" s="710" t="s">
        <v>820</v>
      </c>
      <c r="AC432" s="711"/>
      <c r="AD432" s="711"/>
      <c r="AE432" s="711"/>
      <c r="AF432" s="712"/>
    </row>
    <row r="433" spans="1:35" ht="15.75" x14ac:dyDescent="0.25">
      <c r="A433" s="33"/>
      <c r="B433" s="82"/>
      <c r="C433" s="40"/>
      <c r="D433" s="683"/>
      <c r="E433" s="719"/>
      <c r="F433" s="719"/>
      <c r="G433" s="719"/>
      <c r="H433" s="719"/>
      <c r="I433" s="719"/>
      <c r="J433" s="685"/>
      <c r="L433" s="33"/>
      <c r="M433" s="692"/>
      <c r="N433" s="720"/>
      <c r="O433" s="720"/>
      <c r="P433" s="720"/>
      <c r="Q433" s="694"/>
      <c r="S433" s="33"/>
      <c r="T433" s="701"/>
      <c r="U433" s="721"/>
      <c r="V433" s="721"/>
      <c r="W433" s="721"/>
      <c r="X433" s="703"/>
      <c r="Y433" s="708"/>
      <c r="Z433" s="29"/>
      <c r="AA433" s="33"/>
      <c r="AB433" s="713"/>
      <c r="AC433" s="722"/>
      <c r="AD433" s="722"/>
      <c r="AE433" s="722"/>
      <c r="AF433" s="715"/>
    </row>
    <row r="434" spans="1:35" ht="15.75" x14ac:dyDescent="0.25">
      <c r="A434" s="32"/>
      <c r="B434" s="82"/>
      <c r="C434" s="40"/>
      <c r="D434" s="686"/>
      <c r="E434" s="687"/>
      <c r="F434" s="687"/>
      <c r="G434" s="687"/>
      <c r="H434" s="687"/>
      <c r="I434" s="687"/>
      <c r="J434" s="688"/>
      <c r="L434" s="32"/>
      <c r="M434" s="695"/>
      <c r="N434" s="696"/>
      <c r="O434" s="696"/>
      <c r="P434" s="696"/>
      <c r="Q434" s="697"/>
      <c r="S434" s="32"/>
      <c r="T434" s="704"/>
      <c r="U434" s="705"/>
      <c r="V434" s="705"/>
      <c r="W434" s="705"/>
      <c r="X434" s="706"/>
      <c r="Y434" s="709"/>
      <c r="Z434" s="29"/>
      <c r="AA434" s="32"/>
      <c r="AB434" s="716"/>
      <c r="AC434" s="717"/>
      <c r="AD434" s="717"/>
      <c r="AE434" s="717"/>
      <c r="AF434" s="718"/>
    </row>
    <row r="435" spans="1:35" ht="15.75" customHeight="1" x14ac:dyDescent="0.25">
      <c r="A435" s="30">
        <v>145</v>
      </c>
      <c r="B435" s="81" t="s">
        <v>461</v>
      </c>
      <c r="C435" s="26" t="s">
        <v>421</v>
      </c>
      <c r="D435" s="680" t="s">
        <v>821</v>
      </c>
      <c r="E435" s="681"/>
      <c r="F435" s="681"/>
      <c r="G435" s="681"/>
      <c r="H435" s="681"/>
      <c r="I435" s="681"/>
      <c r="J435" s="682"/>
      <c r="L435" s="30">
        <v>145</v>
      </c>
      <c r="M435" s="689" t="s">
        <v>61</v>
      </c>
      <c r="N435" s="690"/>
      <c r="O435" s="690"/>
      <c r="P435" s="690"/>
      <c r="Q435" s="691"/>
      <c r="S435" s="30">
        <v>145</v>
      </c>
      <c r="T435" s="698" t="s">
        <v>424</v>
      </c>
      <c r="U435" s="699"/>
      <c r="V435" s="699"/>
      <c r="W435" s="699"/>
      <c r="X435" s="700"/>
      <c r="Y435" s="707" t="s">
        <v>63</v>
      </c>
      <c r="AA435" s="30">
        <v>145</v>
      </c>
      <c r="AB435" s="710" t="s">
        <v>822</v>
      </c>
      <c r="AC435" s="711"/>
      <c r="AD435" s="711"/>
      <c r="AE435" s="711"/>
      <c r="AF435" s="712"/>
    </row>
    <row r="436" spans="1:35" ht="18.75" x14ac:dyDescent="0.25">
      <c r="A436" s="33"/>
      <c r="B436" s="82"/>
      <c r="C436" s="40"/>
      <c r="D436" s="683"/>
      <c r="E436" s="719"/>
      <c r="F436" s="719"/>
      <c r="G436" s="719"/>
      <c r="H436" s="719"/>
      <c r="I436" s="719"/>
      <c r="J436" s="685"/>
      <c r="L436" s="33"/>
      <c r="M436" s="692"/>
      <c r="N436" s="720"/>
      <c r="O436" s="720"/>
      <c r="P436" s="720"/>
      <c r="Q436" s="694"/>
      <c r="S436" s="33"/>
      <c r="T436" s="701"/>
      <c r="U436" s="721"/>
      <c r="V436" s="721"/>
      <c r="W436" s="721"/>
      <c r="X436" s="703"/>
      <c r="Y436" s="708"/>
      <c r="Z436" s="29"/>
      <c r="AA436" s="33"/>
      <c r="AB436" s="713"/>
      <c r="AC436" s="722"/>
      <c r="AD436" s="722"/>
      <c r="AE436" s="722"/>
      <c r="AF436" s="715"/>
      <c r="AI436" s="83"/>
    </row>
    <row r="437" spans="1:35" ht="15.75" x14ac:dyDescent="0.25">
      <c r="A437" s="32"/>
      <c r="B437" s="82"/>
      <c r="C437" s="40"/>
      <c r="D437" s="686"/>
      <c r="E437" s="687"/>
      <c r="F437" s="687"/>
      <c r="G437" s="687"/>
      <c r="H437" s="687"/>
      <c r="I437" s="687"/>
      <c r="J437" s="688"/>
      <c r="L437" s="32"/>
      <c r="M437" s="695"/>
      <c r="N437" s="696"/>
      <c r="O437" s="696"/>
      <c r="P437" s="696"/>
      <c r="Q437" s="697"/>
      <c r="S437" s="32"/>
      <c r="T437" s="704"/>
      <c r="U437" s="705"/>
      <c r="V437" s="705"/>
      <c r="W437" s="705"/>
      <c r="X437" s="706"/>
      <c r="Y437" s="709"/>
      <c r="Z437" s="29"/>
      <c r="AA437" s="32"/>
      <c r="AB437" s="716"/>
      <c r="AC437" s="717"/>
      <c r="AD437" s="717"/>
      <c r="AE437" s="717"/>
      <c r="AF437" s="718"/>
    </row>
    <row r="438" spans="1:35" ht="15.75" customHeight="1" x14ac:dyDescent="0.25">
      <c r="A438" s="30">
        <v>146</v>
      </c>
      <c r="B438" s="81" t="s">
        <v>461</v>
      </c>
      <c r="C438" s="26" t="s">
        <v>427</v>
      </c>
      <c r="D438" s="680" t="s">
        <v>823</v>
      </c>
      <c r="E438" s="681"/>
      <c r="F438" s="681"/>
      <c r="G438" s="681"/>
      <c r="H438" s="681"/>
      <c r="I438" s="681"/>
      <c r="J438" s="682"/>
      <c r="L438" s="30">
        <v>146</v>
      </c>
      <c r="M438" s="689" t="s">
        <v>824</v>
      </c>
      <c r="N438" s="690"/>
      <c r="O438" s="690"/>
      <c r="P438" s="690"/>
      <c r="Q438" s="691"/>
      <c r="S438" s="30">
        <v>146</v>
      </c>
      <c r="T438" s="698" t="s">
        <v>825</v>
      </c>
      <c r="U438" s="699"/>
      <c r="V438" s="699"/>
      <c r="W438" s="699"/>
      <c r="X438" s="700"/>
      <c r="Y438" s="707" t="s">
        <v>826</v>
      </c>
      <c r="AA438" s="30">
        <v>146</v>
      </c>
      <c r="AB438" s="710" t="s">
        <v>827</v>
      </c>
      <c r="AC438" s="711"/>
      <c r="AD438" s="711"/>
      <c r="AE438" s="711"/>
      <c r="AF438" s="712"/>
    </row>
    <row r="439" spans="1:35" ht="15.75" x14ac:dyDescent="0.25">
      <c r="A439" s="33"/>
      <c r="B439" s="82"/>
      <c r="C439" s="40"/>
      <c r="D439" s="683"/>
      <c r="E439" s="719"/>
      <c r="F439" s="719"/>
      <c r="G439" s="719"/>
      <c r="H439" s="719"/>
      <c r="I439" s="719"/>
      <c r="J439" s="685"/>
      <c r="L439" s="33"/>
      <c r="M439" s="692"/>
      <c r="N439" s="720"/>
      <c r="O439" s="720"/>
      <c r="P439" s="720"/>
      <c r="Q439" s="694"/>
      <c r="S439" s="33"/>
      <c r="T439" s="701"/>
      <c r="U439" s="721"/>
      <c r="V439" s="721"/>
      <c r="W439" s="721"/>
      <c r="X439" s="703"/>
      <c r="Y439" s="708"/>
      <c r="Z439" s="29"/>
      <c r="AA439" s="33"/>
      <c r="AB439" s="713"/>
      <c r="AC439" s="722"/>
      <c r="AD439" s="722"/>
      <c r="AE439" s="722"/>
      <c r="AF439" s="715"/>
    </row>
    <row r="440" spans="1:35" ht="15.75" x14ac:dyDescent="0.25">
      <c r="A440" s="32"/>
      <c r="B440" s="82"/>
      <c r="C440" s="40"/>
      <c r="D440" s="686"/>
      <c r="E440" s="687"/>
      <c r="F440" s="687"/>
      <c r="G440" s="687"/>
      <c r="H440" s="687"/>
      <c r="I440" s="687"/>
      <c r="J440" s="688"/>
      <c r="L440" s="32"/>
      <c r="M440" s="695"/>
      <c r="N440" s="696"/>
      <c r="O440" s="696"/>
      <c r="P440" s="696"/>
      <c r="Q440" s="697"/>
      <c r="S440" s="32"/>
      <c r="T440" s="704"/>
      <c r="U440" s="705"/>
      <c r="V440" s="705"/>
      <c r="W440" s="705"/>
      <c r="X440" s="706"/>
      <c r="Y440" s="709"/>
      <c r="Z440" s="29"/>
      <c r="AA440" s="32"/>
      <c r="AB440" s="716"/>
      <c r="AC440" s="717"/>
      <c r="AD440" s="717"/>
      <c r="AE440" s="717"/>
      <c r="AF440" s="718"/>
    </row>
    <row r="441" spans="1:35" ht="15.75" customHeight="1" x14ac:dyDescent="0.25">
      <c r="A441" s="30">
        <v>147</v>
      </c>
      <c r="B441" s="81" t="s">
        <v>461</v>
      </c>
      <c r="C441" s="26" t="s">
        <v>443</v>
      </c>
      <c r="D441" s="680" t="s">
        <v>828</v>
      </c>
      <c r="E441" s="681"/>
      <c r="F441" s="681"/>
      <c r="G441" s="681"/>
      <c r="H441" s="681"/>
      <c r="I441" s="681"/>
      <c r="J441" s="682"/>
      <c r="L441" s="30">
        <v>147</v>
      </c>
      <c r="M441" s="689" t="s">
        <v>829</v>
      </c>
      <c r="N441" s="690"/>
      <c r="O441" s="690"/>
      <c r="P441" s="690"/>
      <c r="Q441" s="691"/>
      <c r="S441" s="30">
        <v>147</v>
      </c>
      <c r="T441" s="698" t="s">
        <v>446</v>
      </c>
      <c r="U441" s="699"/>
      <c r="V441" s="699"/>
      <c r="W441" s="699"/>
      <c r="X441" s="700"/>
      <c r="Y441" s="707" t="s">
        <v>830</v>
      </c>
      <c r="AA441" s="30">
        <v>147</v>
      </c>
      <c r="AB441" s="710" t="s">
        <v>831</v>
      </c>
      <c r="AC441" s="711"/>
      <c r="AD441" s="711"/>
      <c r="AE441" s="711"/>
      <c r="AF441" s="712"/>
    </row>
    <row r="442" spans="1:35" ht="15.75" x14ac:dyDescent="0.25">
      <c r="A442" s="33"/>
      <c r="B442" s="82"/>
      <c r="C442" s="40"/>
      <c r="D442" s="683"/>
      <c r="E442" s="719"/>
      <c r="F442" s="719"/>
      <c r="G442" s="719"/>
      <c r="H442" s="719"/>
      <c r="I442" s="719"/>
      <c r="J442" s="685"/>
      <c r="L442" s="33"/>
      <c r="M442" s="692"/>
      <c r="N442" s="720"/>
      <c r="O442" s="720"/>
      <c r="P442" s="720"/>
      <c r="Q442" s="694"/>
      <c r="S442" s="33"/>
      <c r="T442" s="701"/>
      <c r="U442" s="721"/>
      <c r="V442" s="721"/>
      <c r="W442" s="721"/>
      <c r="X442" s="703"/>
      <c r="Y442" s="708"/>
      <c r="Z442" s="29"/>
      <c r="AA442" s="33"/>
      <c r="AB442" s="713"/>
      <c r="AC442" s="722"/>
      <c r="AD442" s="722"/>
      <c r="AE442" s="722"/>
      <c r="AF442" s="715"/>
    </row>
    <row r="443" spans="1:35" ht="15.75" x14ac:dyDescent="0.25">
      <c r="A443" s="32"/>
      <c r="B443" s="82"/>
      <c r="C443" s="40"/>
      <c r="D443" s="686"/>
      <c r="E443" s="687"/>
      <c r="F443" s="687"/>
      <c r="G443" s="687"/>
      <c r="H443" s="687"/>
      <c r="I443" s="687"/>
      <c r="J443" s="688"/>
      <c r="L443" s="32"/>
      <c r="M443" s="695"/>
      <c r="N443" s="696"/>
      <c r="O443" s="696"/>
      <c r="P443" s="696"/>
      <c r="Q443" s="697"/>
      <c r="S443" s="32"/>
      <c r="T443" s="704"/>
      <c r="U443" s="705"/>
      <c r="V443" s="705"/>
      <c r="W443" s="705"/>
      <c r="X443" s="706"/>
      <c r="Y443" s="709"/>
      <c r="Z443" s="29"/>
      <c r="AA443" s="32"/>
      <c r="AB443" s="716"/>
      <c r="AC443" s="717"/>
      <c r="AD443" s="717"/>
      <c r="AE443" s="717"/>
      <c r="AF443" s="718"/>
    </row>
    <row r="444" spans="1:35" ht="15.75" customHeight="1" x14ac:dyDescent="0.25">
      <c r="A444" s="30">
        <v>148</v>
      </c>
      <c r="B444" s="81" t="s">
        <v>487</v>
      </c>
      <c r="C444" s="26" t="s">
        <v>832</v>
      </c>
      <c r="D444" s="680" t="s">
        <v>833</v>
      </c>
      <c r="E444" s="681"/>
      <c r="F444" s="681"/>
      <c r="G444" s="681"/>
      <c r="H444" s="681"/>
      <c r="I444" s="681"/>
      <c r="J444" s="682"/>
      <c r="L444" s="30">
        <v>148</v>
      </c>
      <c r="M444" s="689" t="s">
        <v>834</v>
      </c>
      <c r="N444" s="690"/>
      <c r="O444" s="690"/>
      <c r="P444" s="690"/>
      <c r="Q444" s="691"/>
      <c r="S444" s="30">
        <v>148</v>
      </c>
      <c r="T444" s="698" t="s">
        <v>835</v>
      </c>
      <c r="U444" s="699"/>
      <c r="V444" s="699"/>
      <c r="W444" s="699"/>
      <c r="X444" s="700"/>
      <c r="Y444" s="707" t="s">
        <v>836</v>
      </c>
      <c r="AA444" s="30">
        <v>149</v>
      </c>
      <c r="AB444" s="710" t="s">
        <v>837</v>
      </c>
      <c r="AC444" s="711"/>
      <c r="AD444" s="711"/>
      <c r="AE444" s="711"/>
      <c r="AF444" s="712"/>
    </row>
    <row r="445" spans="1:35" ht="15.75" x14ac:dyDescent="0.25">
      <c r="A445" s="33"/>
      <c r="B445" s="82"/>
      <c r="C445" s="40"/>
      <c r="D445" s="683"/>
      <c r="E445" s="719"/>
      <c r="F445" s="719"/>
      <c r="G445" s="719"/>
      <c r="H445" s="719"/>
      <c r="I445" s="719"/>
      <c r="J445" s="685"/>
      <c r="L445" s="33"/>
      <c r="M445" s="692"/>
      <c r="N445" s="720"/>
      <c r="O445" s="720"/>
      <c r="P445" s="720"/>
      <c r="Q445" s="694"/>
      <c r="S445" s="33"/>
      <c r="T445" s="701"/>
      <c r="U445" s="721"/>
      <c r="V445" s="721"/>
      <c r="W445" s="721"/>
      <c r="X445" s="703"/>
      <c r="Y445" s="708"/>
      <c r="Z445" s="29"/>
      <c r="AA445" s="33"/>
      <c r="AB445" s="713"/>
      <c r="AC445" s="722"/>
      <c r="AD445" s="722"/>
      <c r="AE445" s="722"/>
      <c r="AF445" s="715"/>
    </row>
    <row r="446" spans="1:35" ht="15.75" x14ac:dyDescent="0.25">
      <c r="A446" s="32"/>
      <c r="B446" s="82"/>
      <c r="C446" s="40"/>
      <c r="D446" s="686"/>
      <c r="E446" s="687"/>
      <c r="F446" s="687"/>
      <c r="G446" s="687"/>
      <c r="H446" s="687"/>
      <c r="I446" s="687"/>
      <c r="J446" s="688"/>
      <c r="L446" s="32"/>
      <c r="M446" s="695"/>
      <c r="N446" s="696"/>
      <c r="O446" s="696"/>
      <c r="P446" s="696"/>
      <c r="Q446" s="697"/>
      <c r="S446" s="32"/>
      <c r="T446" s="704"/>
      <c r="U446" s="705"/>
      <c r="V446" s="705"/>
      <c r="W446" s="705"/>
      <c r="X446" s="706"/>
      <c r="Y446" s="709"/>
      <c r="Z446" s="29"/>
      <c r="AA446" s="32"/>
      <c r="AB446" s="716"/>
      <c r="AC446" s="717"/>
      <c r="AD446" s="717"/>
      <c r="AE446" s="717"/>
      <c r="AF446" s="718"/>
    </row>
    <row r="447" spans="1:35" ht="15.75" customHeight="1" x14ac:dyDescent="0.25">
      <c r="A447" s="30">
        <v>149</v>
      </c>
      <c r="B447" s="81" t="s">
        <v>461</v>
      </c>
      <c r="C447" s="26" t="s">
        <v>838</v>
      </c>
      <c r="D447" s="680" t="s">
        <v>839</v>
      </c>
      <c r="E447" s="681"/>
      <c r="F447" s="681"/>
      <c r="G447" s="681"/>
      <c r="H447" s="681"/>
      <c r="I447" s="681"/>
      <c r="J447" s="682"/>
      <c r="L447" s="30">
        <v>149</v>
      </c>
      <c r="M447" s="689" t="s">
        <v>840</v>
      </c>
      <c r="N447" s="690"/>
      <c r="O447" s="690"/>
      <c r="P447" s="690"/>
      <c r="Q447" s="691"/>
      <c r="S447" s="30">
        <v>149</v>
      </c>
      <c r="T447" s="698" t="s">
        <v>841</v>
      </c>
      <c r="U447" s="699"/>
      <c r="V447" s="699"/>
      <c r="W447" s="699"/>
      <c r="X447" s="700"/>
      <c r="Y447" s="707" t="s">
        <v>842</v>
      </c>
      <c r="AA447" s="30">
        <v>149</v>
      </c>
      <c r="AB447" s="710" t="s">
        <v>843</v>
      </c>
      <c r="AC447" s="711"/>
      <c r="AD447" s="711"/>
      <c r="AE447" s="711"/>
      <c r="AF447" s="712"/>
    </row>
    <row r="448" spans="1:35" ht="15.75" x14ac:dyDescent="0.25">
      <c r="A448" s="33"/>
      <c r="B448" s="82"/>
      <c r="C448" s="40"/>
      <c r="D448" s="683"/>
      <c r="E448" s="719"/>
      <c r="F448" s="719"/>
      <c r="G448" s="719"/>
      <c r="H448" s="719"/>
      <c r="I448" s="719"/>
      <c r="J448" s="685"/>
      <c r="L448" s="33"/>
      <c r="M448" s="692"/>
      <c r="N448" s="720"/>
      <c r="O448" s="720"/>
      <c r="P448" s="720"/>
      <c r="Q448" s="694"/>
      <c r="S448" s="33"/>
      <c r="T448" s="701"/>
      <c r="U448" s="721"/>
      <c r="V448" s="721"/>
      <c r="W448" s="721"/>
      <c r="X448" s="703"/>
      <c r="Y448" s="708"/>
      <c r="Z448" s="29"/>
      <c r="AA448" s="33"/>
      <c r="AB448" s="713"/>
      <c r="AC448" s="722"/>
      <c r="AD448" s="722"/>
      <c r="AE448" s="722"/>
      <c r="AF448" s="715"/>
    </row>
    <row r="449" spans="1:32" ht="15.75" x14ac:dyDescent="0.25">
      <c r="A449" s="32"/>
      <c r="B449" s="82"/>
      <c r="C449" s="40"/>
      <c r="D449" s="686"/>
      <c r="E449" s="687"/>
      <c r="F449" s="687"/>
      <c r="G449" s="687"/>
      <c r="H449" s="687"/>
      <c r="I449" s="687"/>
      <c r="J449" s="688"/>
      <c r="L449" s="32"/>
      <c r="M449" s="695"/>
      <c r="N449" s="696"/>
      <c r="O449" s="696"/>
      <c r="P449" s="696"/>
      <c r="Q449" s="697"/>
      <c r="S449" s="32"/>
      <c r="T449" s="704"/>
      <c r="U449" s="705"/>
      <c r="V449" s="705"/>
      <c r="W449" s="705"/>
      <c r="X449" s="706"/>
      <c r="Y449" s="709"/>
      <c r="Z449" s="29"/>
      <c r="AA449" s="32"/>
      <c r="AB449" s="716"/>
      <c r="AC449" s="717"/>
      <c r="AD449" s="717"/>
      <c r="AE449" s="717"/>
      <c r="AF449" s="718"/>
    </row>
    <row r="450" spans="1:32" ht="15.75" customHeight="1" x14ac:dyDescent="0.25">
      <c r="A450" s="30">
        <v>150</v>
      </c>
      <c r="B450" s="81" t="s">
        <v>461</v>
      </c>
      <c r="C450" s="26" t="s">
        <v>449</v>
      </c>
      <c r="D450" s="680" t="s">
        <v>844</v>
      </c>
      <c r="E450" s="681"/>
      <c r="F450" s="681"/>
      <c r="G450" s="681"/>
      <c r="H450" s="681"/>
      <c r="I450" s="681"/>
      <c r="J450" s="682"/>
      <c r="L450" s="30">
        <v>150</v>
      </c>
      <c r="M450" s="689" t="s">
        <v>61</v>
      </c>
      <c r="N450" s="690"/>
      <c r="O450" s="690"/>
      <c r="P450" s="690"/>
      <c r="Q450" s="691"/>
      <c r="S450" s="30">
        <v>150</v>
      </c>
      <c r="T450" s="698" t="s">
        <v>452</v>
      </c>
      <c r="U450" s="699"/>
      <c r="V450" s="699"/>
      <c r="W450" s="699"/>
      <c r="X450" s="700"/>
      <c r="Y450" s="707" t="s">
        <v>63</v>
      </c>
      <c r="AA450" s="30">
        <v>150</v>
      </c>
      <c r="AB450" s="710" t="s">
        <v>845</v>
      </c>
      <c r="AC450" s="711"/>
      <c r="AD450" s="711"/>
      <c r="AE450" s="711"/>
      <c r="AF450" s="712"/>
    </row>
    <row r="451" spans="1:32" ht="15.75" x14ac:dyDescent="0.25">
      <c r="A451" s="33"/>
      <c r="B451" s="82"/>
      <c r="C451" s="40"/>
      <c r="D451" s="683"/>
      <c r="E451" s="719"/>
      <c r="F451" s="719"/>
      <c r="G451" s="719"/>
      <c r="H451" s="719"/>
      <c r="I451" s="719"/>
      <c r="J451" s="685"/>
      <c r="L451" s="33"/>
      <c r="M451" s="692"/>
      <c r="N451" s="720"/>
      <c r="O451" s="720"/>
      <c r="P451" s="720"/>
      <c r="Q451" s="694"/>
      <c r="S451" s="33"/>
      <c r="T451" s="701"/>
      <c r="U451" s="721"/>
      <c r="V451" s="721"/>
      <c r="W451" s="721"/>
      <c r="X451" s="703"/>
      <c r="Y451" s="708"/>
      <c r="Z451" s="29"/>
      <c r="AA451" s="33"/>
      <c r="AB451" s="713"/>
      <c r="AC451" s="722"/>
      <c r="AD451" s="722"/>
      <c r="AE451" s="722"/>
      <c r="AF451" s="715"/>
    </row>
    <row r="452" spans="1:32" ht="15.75" x14ac:dyDescent="0.25">
      <c r="A452" s="84"/>
      <c r="B452" s="85"/>
      <c r="C452" s="86"/>
      <c r="D452" s="686"/>
      <c r="E452" s="687"/>
      <c r="F452" s="687"/>
      <c r="G452" s="687"/>
      <c r="H452" s="687"/>
      <c r="I452" s="687"/>
      <c r="J452" s="688"/>
      <c r="L452" s="32"/>
      <c r="M452" s="695"/>
      <c r="N452" s="696"/>
      <c r="O452" s="696"/>
      <c r="P452" s="696"/>
      <c r="Q452" s="697"/>
      <c r="S452" s="32"/>
      <c r="T452" s="704"/>
      <c r="U452" s="705"/>
      <c r="V452" s="705"/>
      <c r="W452" s="705"/>
      <c r="X452" s="706"/>
      <c r="Y452" s="709"/>
      <c r="Z452" s="29"/>
      <c r="AA452" s="32"/>
      <c r="AB452" s="716"/>
      <c r="AC452" s="717"/>
      <c r="AD452" s="717"/>
      <c r="AE452" s="717"/>
      <c r="AF452" s="718"/>
    </row>
  </sheetData>
  <mergeCells count="750">
    <mergeCell ref="D447:J449"/>
    <mergeCell ref="M447:Q449"/>
    <mergeCell ref="T447:X449"/>
    <mergeCell ref="Y447:Y449"/>
    <mergeCell ref="AB447:AF449"/>
    <mergeCell ref="D450:J452"/>
    <mergeCell ref="M450:Q452"/>
    <mergeCell ref="T450:X452"/>
    <mergeCell ref="Y450:Y452"/>
    <mergeCell ref="AB450:AF452"/>
    <mergeCell ref="D441:J443"/>
    <mergeCell ref="M441:Q443"/>
    <mergeCell ref="T441:X443"/>
    <mergeCell ref="Y441:Y443"/>
    <mergeCell ref="AB441:AF443"/>
    <mergeCell ref="D444:J446"/>
    <mergeCell ref="M444:Q446"/>
    <mergeCell ref="T444:X446"/>
    <mergeCell ref="Y444:Y446"/>
    <mergeCell ref="AB444:AF446"/>
    <mergeCell ref="D435:J437"/>
    <mergeCell ref="M435:Q437"/>
    <mergeCell ref="T435:X437"/>
    <mergeCell ref="Y435:Y437"/>
    <mergeCell ref="AB435:AF437"/>
    <mergeCell ref="D438:J440"/>
    <mergeCell ref="M438:Q440"/>
    <mergeCell ref="T438:X440"/>
    <mergeCell ref="Y438:Y440"/>
    <mergeCell ref="AB438:AF440"/>
    <mergeCell ref="D429:J431"/>
    <mergeCell ref="M429:Q431"/>
    <mergeCell ref="T429:X431"/>
    <mergeCell ref="Y429:Y431"/>
    <mergeCell ref="AB429:AF431"/>
    <mergeCell ref="D432:J434"/>
    <mergeCell ref="M432:Q434"/>
    <mergeCell ref="T432:X434"/>
    <mergeCell ref="Y432:Y434"/>
    <mergeCell ref="AB432:AF434"/>
    <mergeCell ref="D423:J425"/>
    <mergeCell ref="M423:Q425"/>
    <mergeCell ref="T423:X425"/>
    <mergeCell ref="Y423:Y425"/>
    <mergeCell ref="AB423:AF425"/>
    <mergeCell ref="D426:J428"/>
    <mergeCell ref="M426:Q428"/>
    <mergeCell ref="T426:X428"/>
    <mergeCell ref="Y426:Y428"/>
    <mergeCell ref="AB426:AF428"/>
    <mergeCell ref="D417:J419"/>
    <mergeCell ref="M417:Q419"/>
    <mergeCell ref="T417:X419"/>
    <mergeCell ref="Y417:Y419"/>
    <mergeCell ref="AB417:AF419"/>
    <mergeCell ref="D420:J422"/>
    <mergeCell ref="M420:Q422"/>
    <mergeCell ref="T420:X422"/>
    <mergeCell ref="Y420:Y422"/>
    <mergeCell ref="AB420:AF422"/>
    <mergeCell ref="D411:J413"/>
    <mergeCell ref="M411:Q413"/>
    <mergeCell ref="T411:X413"/>
    <mergeCell ref="Y411:Y413"/>
    <mergeCell ref="AB411:AF413"/>
    <mergeCell ref="D414:J416"/>
    <mergeCell ref="M414:Q416"/>
    <mergeCell ref="T414:X416"/>
    <mergeCell ref="Y414:Y416"/>
    <mergeCell ref="AB414:AF416"/>
    <mergeCell ref="D405:J407"/>
    <mergeCell ref="M405:Q407"/>
    <mergeCell ref="T405:X407"/>
    <mergeCell ref="Y405:Y407"/>
    <mergeCell ref="AB405:AF407"/>
    <mergeCell ref="D408:J410"/>
    <mergeCell ref="M408:Q410"/>
    <mergeCell ref="T408:X410"/>
    <mergeCell ref="Y408:Y410"/>
    <mergeCell ref="AB408:AF410"/>
    <mergeCell ref="D399:J401"/>
    <mergeCell ref="M399:Q401"/>
    <mergeCell ref="T399:X401"/>
    <mergeCell ref="Y399:Y401"/>
    <mergeCell ref="AB399:AF401"/>
    <mergeCell ref="D402:J404"/>
    <mergeCell ref="M402:Q404"/>
    <mergeCell ref="T402:X404"/>
    <mergeCell ref="Y402:Y404"/>
    <mergeCell ref="AB402:AF404"/>
    <mergeCell ref="D393:J395"/>
    <mergeCell ref="M393:Q395"/>
    <mergeCell ref="T393:X395"/>
    <mergeCell ref="Y393:Y395"/>
    <mergeCell ref="AB393:AF395"/>
    <mergeCell ref="D396:J398"/>
    <mergeCell ref="M396:Q398"/>
    <mergeCell ref="T396:X398"/>
    <mergeCell ref="Y396:Y398"/>
    <mergeCell ref="AB396:AF398"/>
    <mergeCell ref="D387:J389"/>
    <mergeCell ref="M387:Q389"/>
    <mergeCell ref="T387:X389"/>
    <mergeCell ref="Y387:Y389"/>
    <mergeCell ref="AB387:AF389"/>
    <mergeCell ref="D390:J392"/>
    <mergeCell ref="M390:Q392"/>
    <mergeCell ref="T390:X392"/>
    <mergeCell ref="Y390:Y392"/>
    <mergeCell ref="AB390:AF392"/>
    <mergeCell ref="D381:J383"/>
    <mergeCell ref="M381:Q383"/>
    <mergeCell ref="T381:X383"/>
    <mergeCell ref="Y381:Y383"/>
    <mergeCell ref="AB381:AF383"/>
    <mergeCell ref="D384:J386"/>
    <mergeCell ref="M384:Q386"/>
    <mergeCell ref="T384:X386"/>
    <mergeCell ref="Y384:Y386"/>
    <mergeCell ref="AB384:AF386"/>
    <mergeCell ref="D375:J377"/>
    <mergeCell ref="M375:Q377"/>
    <mergeCell ref="T375:X377"/>
    <mergeCell ref="Y375:Y377"/>
    <mergeCell ref="AB375:AF377"/>
    <mergeCell ref="D378:J380"/>
    <mergeCell ref="M378:Q380"/>
    <mergeCell ref="T378:X380"/>
    <mergeCell ref="Y378:Y380"/>
    <mergeCell ref="AB378:AF380"/>
    <mergeCell ref="D369:J371"/>
    <mergeCell ref="M369:Q371"/>
    <mergeCell ref="T369:X371"/>
    <mergeCell ref="Y369:Y371"/>
    <mergeCell ref="AB369:AF371"/>
    <mergeCell ref="D372:J374"/>
    <mergeCell ref="M372:Q374"/>
    <mergeCell ref="T372:X374"/>
    <mergeCell ref="Y372:Y374"/>
    <mergeCell ref="AB372:AF374"/>
    <mergeCell ref="D363:J365"/>
    <mergeCell ref="M363:Q365"/>
    <mergeCell ref="T363:X365"/>
    <mergeCell ref="Y363:Y365"/>
    <mergeCell ref="AB363:AF365"/>
    <mergeCell ref="D366:J368"/>
    <mergeCell ref="M366:Q368"/>
    <mergeCell ref="T366:X368"/>
    <mergeCell ref="Y366:Y368"/>
    <mergeCell ref="AB366:AF368"/>
    <mergeCell ref="D357:J359"/>
    <mergeCell ref="M357:Q359"/>
    <mergeCell ref="T357:X359"/>
    <mergeCell ref="Y357:Y359"/>
    <mergeCell ref="AB357:AF359"/>
    <mergeCell ref="D360:J362"/>
    <mergeCell ref="M360:Q362"/>
    <mergeCell ref="T360:X362"/>
    <mergeCell ref="Y360:Y362"/>
    <mergeCell ref="AB360:AF362"/>
    <mergeCell ref="D351:J353"/>
    <mergeCell ref="M351:Q353"/>
    <mergeCell ref="T351:X353"/>
    <mergeCell ref="Y351:Y353"/>
    <mergeCell ref="AB351:AF353"/>
    <mergeCell ref="D354:J356"/>
    <mergeCell ref="M354:Q356"/>
    <mergeCell ref="T354:X356"/>
    <mergeCell ref="Y354:Y356"/>
    <mergeCell ref="AB354:AF356"/>
    <mergeCell ref="D345:J347"/>
    <mergeCell ref="M345:Q347"/>
    <mergeCell ref="T345:X347"/>
    <mergeCell ref="Y345:Y347"/>
    <mergeCell ref="AB345:AF347"/>
    <mergeCell ref="D348:J350"/>
    <mergeCell ref="M348:Q350"/>
    <mergeCell ref="T348:X350"/>
    <mergeCell ref="Y348:Y350"/>
    <mergeCell ref="AB348:AF350"/>
    <mergeCell ref="D339:J341"/>
    <mergeCell ref="M339:Q341"/>
    <mergeCell ref="T339:X341"/>
    <mergeCell ref="Y339:Y341"/>
    <mergeCell ref="AB339:AF341"/>
    <mergeCell ref="D342:J344"/>
    <mergeCell ref="M342:Q344"/>
    <mergeCell ref="T342:X344"/>
    <mergeCell ref="Y342:Y344"/>
    <mergeCell ref="AB342:AF344"/>
    <mergeCell ref="D333:J335"/>
    <mergeCell ref="M333:Q335"/>
    <mergeCell ref="T333:X335"/>
    <mergeCell ref="Y333:Y335"/>
    <mergeCell ref="AB333:AF335"/>
    <mergeCell ref="D336:J338"/>
    <mergeCell ref="M336:Q338"/>
    <mergeCell ref="T336:X338"/>
    <mergeCell ref="Y336:Y338"/>
    <mergeCell ref="AB336:AF338"/>
    <mergeCell ref="D327:J329"/>
    <mergeCell ref="M327:Q329"/>
    <mergeCell ref="T327:X329"/>
    <mergeCell ref="Y327:Y329"/>
    <mergeCell ref="AB327:AF329"/>
    <mergeCell ref="D330:J332"/>
    <mergeCell ref="M330:Q332"/>
    <mergeCell ref="T330:X332"/>
    <mergeCell ref="Y330:Y332"/>
    <mergeCell ref="AB330:AF332"/>
    <mergeCell ref="D321:J323"/>
    <mergeCell ref="M321:Q323"/>
    <mergeCell ref="T321:X323"/>
    <mergeCell ref="Y321:Y323"/>
    <mergeCell ref="AB321:AF323"/>
    <mergeCell ref="D324:J326"/>
    <mergeCell ref="M324:Q326"/>
    <mergeCell ref="T324:X326"/>
    <mergeCell ref="Y324:Y326"/>
    <mergeCell ref="AB324:AF326"/>
    <mergeCell ref="D315:J317"/>
    <mergeCell ref="M315:Q317"/>
    <mergeCell ref="T315:X317"/>
    <mergeCell ref="Y315:Y317"/>
    <mergeCell ref="AB315:AF317"/>
    <mergeCell ref="D318:J320"/>
    <mergeCell ref="M318:Q320"/>
    <mergeCell ref="T318:X320"/>
    <mergeCell ref="Y318:Y320"/>
    <mergeCell ref="AB318:AF320"/>
    <mergeCell ref="D309:J311"/>
    <mergeCell ref="M309:Q311"/>
    <mergeCell ref="T309:X311"/>
    <mergeCell ref="Y309:Y311"/>
    <mergeCell ref="AB309:AF311"/>
    <mergeCell ref="D312:J314"/>
    <mergeCell ref="M312:Q314"/>
    <mergeCell ref="T312:X314"/>
    <mergeCell ref="Y312:Y314"/>
    <mergeCell ref="AB312:AF314"/>
    <mergeCell ref="D303:J305"/>
    <mergeCell ref="M303:Q305"/>
    <mergeCell ref="T303:X305"/>
    <mergeCell ref="Y303:Y305"/>
    <mergeCell ref="AB303:AF305"/>
    <mergeCell ref="D306:J308"/>
    <mergeCell ref="M306:Q308"/>
    <mergeCell ref="T306:X308"/>
    <mergeCell ref="Y306:Y308"/>
    <mergeCell ref="AB306:AF308"/>
    <mergeCell ref="D297:J299"/>
    <mergeCell ref="M297:Q299"/>
    <mergeCell ref="T297:X299"/>
    <mergeCell ref="Y297:Y299"/>
    <mergeCell ref="AB297:AF299"/>
    <mergeCell ref="D300:J302"/>
    <mergeCell ref="M300:Q302"/>
    <mergeCell ref="T300:X302"/>
    <mergeCell ref="Y300:Y302"/>
    <mergeCell ref="AB300:AF302"/>
    <mergeCell ref="D291:J293"/>
    <mergeCell ref="M291:Q293"/>
    <mergeCell ref="T291:X293"/>
    <mergeCell ref="Y291:Y293"/>
    <mergeCell ref="AB291:AF293"/>
    <mergeCell ref="D294:J296"/>
    <mergeCell ref="M294:Q296"/>
    <mergeCell ref="T294:X296"/>
    <mergeCell ref="Y294:Y296"/>
    <mergeCell ref="AB294:AF296"/>
    <mergeCell ref="D285:J287"/>
    <mergeCell ref="M285:Q287"/>
    <mergeCell ref="T285:X287"/>
    <mergeCell ref="Y285:Y287"/>
    <mergeCell ref="AB285:AF287"/>
    <mergeCell ref="D288:J290"/>
    <mergeCell ref="M288:Q290"/>
    <mergeCell ref="T288:X290"/>
    <mergeCell ref="Y288:Y290"/>
    <mergeCell ref="AB288:AF290"/>
    <mergeCell ref="D279:J281"/>
    <mergeCell ref="M279:Q281"/>
    <mergeCell ref="T279:X281"/>
    <mergeCell ref="Y279:Y281"/>
    <mergeCell ref="AB279:AF281"/>
    <mergeCell ref="D282:J284"/>
    <mergeCell ref="M282:Q284"/>
    <mergeCell ref="T282:X284"/>
    <mergeCell ref="Y282:Y284"/>
    <mergeCell ref="AB282:AF284"/>
    <mergeCell ref="D273:J275"/>
    <mergeCell ref="M273:Q275"/>
    <mergeCell ref="T273:X275"/>
    <mergeCell ref="Y273:Y275"/>
    <mergeCell ref="AB273:AF275"/>
    <mergeCell ref="D276:J278"/>
    <mergeCell ref="M276:Q278"/>
    <mergeCell ref="T276:X278"/>
    <mergeCell ref="Y276:Y278"/>
    <mergeCell ref="AB276:AF278"/>
    <mergeCell ref="D267:J269"/>
    <mergeCell ref="M267:Q269"/>
    <mergeCell ref="T267:X269"/>
    <mergeCell ref="Y267:Y269"/>
    <mergeCell ref="AB267:AF269"/>
    <mergeCell ref="D270:J272"/>
    <mergeCell ref="M270:Q272"/>
    <mergeCell ref="T270:X272"/>
    <mergeCell ref="Y270:Y272"/>
    <mergeCell ref="AB270:AF272"/>
    <mergeCell ref="D261:J263"/>
    <mergeCell ref="M261:Q263"/>
    <mergeCell ref="T261:X263"/>
    <mergeCell ref="Y261:Y263"/>
    <mergeCell ref="AB261:AF263"/>
    <mergeCell ref="D264:J266"/>
    <mergeCell ref="M264:Q266"/>
    <mergeCell ref="T264:X266"/>
    <mergeCell ref="Y264:Y266"/>
    <mergeCell ref="AB264:AF266"/>
    <mergeCell ref="D255:J257"/>
    <mergeCell ref="M255:Q257"/>
    <mergeCell ref="T255:X257"/>
    <mergeCell ref="Y255:Y257"/>
    <mergeCell ref="AB255:AF257"/>
    <mergeCell ref="D258:J260"/>
    <mergeCell ref="M258:Q260"/>
    <mergeCell ref="T258:X260"/>
    <mergeCell ref="Y258:Y260"/>
    <mergeCell ref="AB258:AF260"/>
    <mergeCell ref="D249:J251"/>
    <mergeCell ref="M249:Q251"/>
    <mergeCell ref="T249:X251"/>
    <mergeCell ref="Y249:Y251"/>
    <mergeCell ref="AB249:AF251"/>
    <mergeCell ref="D252:J254"/>
    <mergeCell ref="M252:Q254"/>
    <mergeCell ref="T252:X254"/>
    <mergeCell ref="Y252:Y254"/>
    <mergeCell ref="AB252:AF254"/>
    <mergeCell ref="D243:J245"/>
    <mergeCell ref="M243:Q245"/>
    <mergeCell ref="T243:X245"/>
    <mergeCell ref="Y243:Y245"/>
    <mergeCell ref="AB243:AF245"/>
    <mergeCell ref="D246:J248"/>
    <mergeCell ref="M246:Q248"/>
    <mergeCell ref="T246:X248"/>
    <mergeCell ref="Y246:Y248"/>
    <mergeCell ref="AB246:AF248"/>
    <mergeCell ref="D237:J239"/>
    <mergeCell ref="M237:Q239"/>
    <mergeCell ref="T237:X239"/>
    <mergeCell ref="Y237:Y239"/>
    <mergeCell ref="AB237:AF239"/>
    <mergeCell ref="D240:J242"/>
    <mergeCell ref="M240:Q242"/>
    <mergeCell ref="T240:X242"/>
    <mergeCell ref="Y240:Y242"/>
    <mergeCell ref="AB240:AF242"/>
    <mergeCell ref="D231:J233"/>
    <mergeCell ref="M231:Q233"/>
    <mergeCell ref="T231:X233"/>
    <mergeCell ref="Y231:Y233"/>
    <mergeCell ref="AB231:AF233"/>
    <mergeCell ref="D234:J236"/>
    <mergeCell ref="M234:Q236"/>
    <mergeCell ref="T234:X236"/>
    <mergeCell ref="Y234:Y236"/>
    <mergeCell ref="AB234:AF236"/>
    <mergeCell ref="D225:J227"/>
    <mergeCell ref="M225:Q227"/>
    <mergeCell ref="T225:X227"/>
    <mergeCell ref="Y225:Y227"/>
    <mergeCell ref="AB225:AF227"/>
    <mergeCell ref="D228:J230"/>
    <mergeCell ref="M228:Q230"/>
    <mergeCell ref="T228:X230"/>
    <mergeCell ref="Y228:Y230"/>
    <mergeCell ref="AB228:AF230"/>
    <mergeCell ref="D219:J221"/>
    <mergeCell ref="M219:Q221"/>
    <mergeCell ref="T219:X221"/>
    <mergeCell ref="Y219:Y221"/>
    <mergeCell ref="AB219:AF221"/>
    <mergeCell ref="D222:J224"/>
    <mergeCell ref="M222:Q224"/>
    <mergeCell ref="T222:X224"/>
    <mergeCell ref="Y222:Y224"/>
    <mergeCell ref="AB222:AF224"/>
    <mergeCell ref="D213:J215"/>
    <mergeCell ref="M213:Q215"/>
    <mergeCell ref="T213:X215"/>
    <mergeCell ref="Y213:Y215"/>
    <mergeCell ref="AB213:AF215"/>
    <mergeCell ref="D216:J218"/>
    <mergeCell ref="M216:Q218"/>
    <mergeCell ref="T216:X218"/>
    <mergeCell ref="Y216:Y218"/>
    <mergeCell ref="AB216:AF218"/>
    <mergeCell ref="D207:J209"/>
    <mergeCell ref="M207:Q209"/>
    <mergeCell ref="T207:X209"/>
    <mergeCell ref="Y207:Y209"/>
    <mergeCell ref="AB207:AF209"/>
    <mergeCell ref="D210:J212"/>
    <mergeCell ref="M210:Q212"/>
    <mergeCell ref="T210:X212"/>
    <mergeCell ref="Y210:Y212"/>
    <mergeCell ref="AB210:AF212"/>
    <mergeCell ref="D201:J203"/>
    <mergeCell ref="M201:Q203"/>
    <mergeCell ref="T201:X203"/>
    <mergeCell ref="Y201:Y203"/>
    <mergeCell ref="AB201:AF203"/>
    <mergeCell ref="D204:J206"/>
    <mergeCell ref="M204:Q206"/>
    <mergeCell ref="T204:X206"/>
    <mergeCell ref="Y204:Y206"/>
    <mergeCell ref="AB204:AF206"/>
    <mergeCell ref="D195:J197"/>
    <mergeCell ref="M195:Q197"/>
    <mergeCell ref="T195:X197"/>
    <mergeCell ref="Y195:Y197"/>
    <mergeCell ref="AB195:AF197"/>
    <mergeCell ref="D198:J200"/>
    <mergeCell ref="M198:Q200"/>
    <mergeCell ref="T198:X200"/>
    <mergeCell ref="Y198:Y200"/>
    <mergeCell ref="AB198:AF200"/>
    <mergeCell ref="D189:J191"/>
    <mergeCell ref="M189:Q191"/>
    <mergeCell ref="T189:X191"/>
    <mergeCell ref="Y189:Y191"/>
    <mergeCell ref="AB189:AF191"/>
    <mergeCell ref="D192:J194"/>
    <mergeCell ref="M192:Q194"/>
    <mergeCell ref="T192:X194"/>
    <mergeCell ref="Y192:Y194"/>
    <mergeCell ref="AB192:AF194"/>
    <mergeCell ref="D183:J185"/>
    <mergeCell ref="M183:Q185"/>
    <mergeCell ref="T183:X185"/>
    <mergeCell ref="Y183:Y185"/>
    <mergeCell ref="AB183:AF185"/>
    <mergeCell ref="D186:J188"/>
    <mergeCell ref="M186:Q188"/>
    <mergeCell ref="T186:X188"/>
    <mergeCell ref="Y186:Y188"/>
    <mergeCell ref="AB186:AF188"/>
    <mergeCell ref="D177:J179"/>
    <mergeCell ref="M177:Q179"/>
    <mergeCell ref="T177:X179"/>
    <mergeCell ref="Y177:Y179"/>
    <mergeCell ref="AB177:AF179"/>
    <mergeCell ref="D180:J182"/>
    <mergeCell ref="M180:Q182"/>
    <mergeCell ref="T180:X182"/>
    <mergeCell ref="Y180:Y182"/>
    <mergeCell ref="AB180:AF182"/>
    <mergeCell ref="D171:J173"/>
    <mergeCell ref="M171:Q173"/>
    <mergeCell ref="T171:X173"/>
    <mergeCell ref="Y171:Y173"/>
    <mergeCell ref="AB171:AF173"/>
    <mergeCell ref="D174:J176"/>
    <mergeCell ref="M174:Q176"/>
    <mergeCell ref="T174:X176"/>
    <mergeCell ref="Y174:Y176"/>
    <mergeCell ref="AB174:AF176"/>
    <mergeCell ref="D165:J167"/>
    <mergeCell ref="M165:Q167"/>
    <mergeCell ref="T165:X167"/>
    <mergeCell ref="Y165:Y167"/>
    <mergeCell ref="AB165:AF167"/>
    <mergeCell ref="D168:J170"/>
    <mergeCell ref="M168:Q170"/>
    <mergeCell ref="T168:X170"/>
    <mergeCell ref="Y168:Y170"/>
    <mergeCell ref="AB168:AF170"/>
    <mergeCell ref="D159:J161"/>
    <mergeCell ref="M159:Q161"/>
    <mergeCell ref="T159:X161"/>
    <mergeCell ref="Y159:Y161"/>
    <mergeCell ref="AB159:AF161"/>
    <mergeCell ref="D162:J164"/>
    <mergeCell ref="M162:Q164"/>
    <mergeCell ref="T162:X164"/>
    <mergeCell ref="Y162:Y164"/>
    <mergeCell ref="AB162:AF164"/>
    <mergeCell ref="D153:J155"/>
    <mergeCell ref="M153:Q155"/>
    <mergeCell ref="T153:X155"/>
    <mergeCell ref="Y153:Y155"/>
    <mergeCell ref="AB153:AF155"/>
    <mergeCell ref="D156:J158"/>
    <mergeCell ref="M156:Q158"/>
    <mergeCell ref="T156:X158"/>
    <mergeCell ref="Y156:Y158"/>
    <mergeCell ref="AB156:AF158"/>
    <mergeCell ref="D147:J149"/>
    <mergeCell ref="M147:Q149"/>
    <mergeCell ref="T147:X149"/>
    <mergeCell ref="Y147:Y149"/>
    <mergeCell ref="AB147:AF149"/>
    <mergeCell ref="D150:J152"/>
    <mergeCell ref="M150:Q152"/>
    <mergeCell ref="T150:X152"/>
    <mergeCell ref="Y150:Y152"/>
    <mergeCell ref="AB150:AF152"/>
    <mergeCell ref="D141:J143"/>
    <mergeCell ref="M141:Q143"/>
    <mergeCell ref="T141:X143"/>
    <mergeCell ref="Y141:Y143"/>
    <mergeCell ref="AB141:AF143"/>
    <mergeCell ref="D144:J146"/>
    <mergeCell ref="M144:Q146"/>
    <mergeCell ref="T144:X146"/>
    <mergeCell ref="Y144:Y146"/>
    <mergeCell ref="AB144:AF146"/>
    <mergeCell ref="D135:J137"/>
    <mergeCell ref="M135:Q137"/>
    <mergeCell ref="T135:X137"/>
    <mergeCell ref="Y135:Y137"/>
    <mergeCell ref="AB135:AF137"/>
    <mergeCell ref="D138:J140"/>
    <mergeCell ref="M138:Q140"/>
    <mergeCell ref="T138:X140"/>
    <mergeCell ref="Y138:Y140"/>
    <mergeCell ref="AB138:AF140"/>
    <mergeCell ref="D129:J131"/>
    <mergeCell ref="M129:Q131"/>
    <mergeCell ref="T129:X131"/>
    <mergeCell ref="Y129:Y131"/>
    <mergeCell ref="AB129:AF131"/>
    <mergeCell ref="D132:J134"/>
    <mergeCell ref="M132:Q134"/>
    <mergeCell ref="T132:X134"/>
    <mergeCell ref="Y132:Y134"/>
    <mergeCell ref="AB132:AF134"/>
    <mergeCell ref="D123:J125"/>
    <mergeCell ref="M123:Q125"/>
    <mergeCell ref="T123:X125"/>
    <mergeCell ref="Y123:Y125"/>
    <mergeCell ref="AB123:AF125"/>
    <mergeCell ref="D126:J128"/>
    <mergeCell ref="M126:Q128"/>
    <mergeCell ref="T126:X128"/>
    <mergeCell ref="Y126:Y128"/>
    <mergeCell ref="AB126:AF128"/>
    <mergeCell ref="D117:J119"/>
    <mergeCell ref="M117:Q119"/>
    <mergeCell ref="T117:X119"/>
    <mergeCell ref="Y117:Y119"/>
    <mergeCell ref="AB117:AF119"/>
    <mergeCell ref="D120:J122"/>
    <mergeCell ref="M120:Q122"/>
    <mergeCell ref="T120:X122"/>
    <mergeCell ref="Y120:Y122"/>
    <mergeCell ref="AB120:AF122"/>
    <mergeCell ref="D111:J113"/>
    <mergeCell ref="M111:Q113"/>
    <mergeCell ref="T111:X113"/>
    <mergeCell ref="Y111:Y113"/>
    <mergeCell ref="AB111:AF113"/>
    <mergeCell ref="D114:J116"/>
    <mergeCell ref="M114:Q116"/>
    <mergeCell ref="T114:X116"/>
    <mergeCell ref="Y114:Y116"/>
    <mergeCell ref="AB114:AF116"/>
    <mergeCell ref="D105:J107"/>
    <mergeCell ref="M105:Q107"/>
    <mergeCell ref="T105:X107"/>
    <mergeCell ref="Y105:Y107"/>
    <mergeCell ref="AB105:AF107"/>
    <mergeCell ref="D108:J110"/>
    <mergeCell ref="M108:Q110"/>
    <mergeCell ref="T108:X110"/>
    <mergeCell ref="Y108:Y110"/>
    <mergeCell ref="AB108:AF110"/>
    <mergeCell ref="D99:J101"/>
    <mergeCell ref="M99:Q101"/>
    <mergeCell ref="T99:X101"/>
    <mergeCell ref="Y99:Y101"/>
    <mergeCell ref="AB99:AF101"/>
    <mergeCell ref="D102:J104"/>
    <mergeCell ref="M102:Q104"/>
    <mergeCell ref="T102:X104"/>
    <mergeCell ref="Y102:Y104"/>
    <mergeCell ref="AB102:AF104"/>
    <mergeCell ref="D93:J95"/>
    <mergeCell ref="M93:Q95"/>
    <mergeCell ref="T93:X95"/>
    <mergeCell ref="Y93:Y95"/>
    <mergeCell ref="AB93:AF95"/>
    <mergeCell ref="D96:J98"/>
    <mergeCell ref="M96:Q98"/>
    <mergeCell ref="T96:X98"/>
    <mergeCell ref="Y96:Y98"/>
    <mergeCell ref="AB96:AF98"/>
    <mergeCell ref="D87:J89"/>
    <mergeCell ref="M87:Q89"/>
    <mergeCell ref="T87:X89"/>
    <mergeCell ref="Y87:Y89"/>
    <mergeCell ref="AB87:AF89"/>
    <mergeCell ref="D90:J92"/>
    <mergeCell ref="M90:Q92"/>
    <mergeCell ref="T90:X92"/>
    <mergeCell ref="Y90:Y92"/>
    <mergeCell ref="AB90:AF92"/>
    <mergeCell ref="D81:J83"/>
    <mergeCell ref="M81:Q83"/>
    <mergeCell ref="T81:X83"/>
    <mergeCell ref="Y81:Y83"/>
    <mergeCell ref="AB81:AF83"/>
    <mergeCell ref="D84:J86"/>
    <mergeCell ref="M84:Q86"/>
    <mergeCell ref="T84:X86"/>
    <mergeCell ref="Y84:Y86"/>
    <mergeCell ref="AB84:AF86"/>
    <mergeCell ref="D75:J77"/>
    <mergeCell ref="M75:Q77"/>
    <mergeCell ref="T75:X77"/>
    <mergeCell ref="Y75:Y77"/>
    <mergeCell ref="AB75:AF77"/>
    <mergeCell ref="D78:J80"/>
    <mergeCell ref="M78:Q80"/>
    <mergeCell ref="T78:X80"/>
    <mergeCell ref="Y78:Y80"/>
    <mergeCell ref="AB78:AF80"/>
    <mergeCell ref="D69:J71"/>
    <mergeCell ref="M69:Q71"/>
    <mergeCell ref="T69:X71"/>
    <mergeCell ref="Y69:Y71"/>
    <mergeCell ref="AB69:AF71"/>
    <mergeCell ref="D72:J74"/>
    <mergeCell ref="M72:Q74"/>
    <mergeCell ref="T72:X74"/>
    <mergeCell ref="Y72:Y74"/>
    <mergeCell ref="AB72:AF74"/>
    <mergeCell ref="D63:J65"/>
    <mergeCell ref="M63:Q65"/>
    <mergeCell ref="T63:X65"/>
    <mergeCell ref="Y63:Y65"/>
    <mergeCell ref="AB63:AF65"/>
    <mergeCell ref="D66:J68"/>
    <mergeCell ref="M66:Q68"/>
    <mergeCell ref="T66:X68"/>
    <mergeCell ref="Y66:Y68"/>
    <mergeCell ref="AB66:AF68"/>
    <mergeCell ref="D57:J59"/>
    <mergeCell ref="M57:Q59"/>
    <mergeCell ref="T57:X59"/>
    <mergeCell ref="Y57:Y59"/>
    <mergeCell ref="AB57:AF59"/>
    <mergeCell ref="D60:J62"/>
    <mergeCell ref="M60:Q62"/>
    <mergeCell ref="T60:X62"/>
    <mergeCell ref="Y60:Y62"/>
    <mergeCell ref="AB60:AF62"/>
    <mergeCell ref="D51:J53"/>
    <mergeCell ref="M51:Q53"/>
    <mergeCell ref="T51:X53"/>
    <mergeCell ref="Y51:Y53"/>
    <mergeCell ref="AB51:AF53"/>
    <mergeCell ref="D54:J56"/>
    <mergeCell ref="M54:Q56"/>
    <mergeCell ref="T54:X56"/>
    <mergeCell ref="Y54:Y56"/>
    <mergeCell ref="AB54:AF56"/>
    <mergeCell ref="D45:J47"/>
    <mergeCell ref="M45:Q47"/>
    <mergeCell ref="T45:X47"/>
    <mergeCell ref="Y45:Y47"/>
    <mergeCell ref="AB45:AF47"/>
    <mergeCell ref="D48:J50"/>
    <mergeCell ref="M48:Q50"/>
    <mergeCell ref="T48:X50"/>
    <mergeCell ref="Y48:Y50"/>
    <mergeCell ref="AB48:AF50"/>
    <mergeCell ref="D39:J41"/>
    <mergeCell ref="M39:Q41"/>
    <mergeCell ref="T39:X41"/>
    <mergeCell ref="Y39:Y41"/>
    <mergeCell ref="AB39:AF41"/>
    <mergeCell ref="D42:J44"/>
    <mergeCell ref="M42:Q44"/>
    <mergeCell ref="T42:X44"/>
    <mergeCell ref="Y42:Y44"/>
    <mergeCell ref="AB42:AF44"/>
    <mergeCell ref="D33:J35"/>
    <mergeCell ref="M33:Q35"/>
    <mergeCell ref="T33:X35"/>
    <mergeCell ref="Y33:Y35"/>
    <mergeCell ref="AB33:AF35"/>
    <mergeCell ref="D36:J38"/>
    <mergeCell ref="M36:Q38"/>
    <mergeCell ref="T36:X38"/>
    <mergeCell ref="Y36:Y38"/>
    <mergeCell ref="AB36:AF38"/>
    <mergeCell ref="D27:J29"/>
    <mergeCell ref="M27:Q29"/>
    <mergeCell ref="T27:X29"/>
    <mergeCell ref="Y27:Y29"/>
    <mergeCell ref="AB27:AF29"/>
    <mergeCell ref="D30:J32"/>
    <mergeCell ref="M30:Q32"/>
    <mergeCell ref="T30:X32"/>
    <mergeCell ref="Y30:Y32"/>
    <mergeCell ref="AB30:AF32"/>
    <mergeCell ref="D21:J23"/>
    <mergeCell ref="M21:Q23"/>
    <mergeCell ref="T21:X23"/>
    <mergeCell ref="Y21:Y23"/>
    <mergeCell ref="AB21:AF23"/>
    <mergeCell ref="D24:J26"/>
    <mergeCell ref="M24:Q26"/>
    <mergeCell ref="T24:X26"/>
    <mergeCell ref="Y24:Y26"/>
    <mergeCell ref="AB24:AF26"/>
    <mergeCell ref="D15:J17"/>
    <mergeCell ref="M15:Q17"/>
    <mergeCell ref="T15:X17"/>
    <mergeCell ref="Y15:Y17"/>
    <mergeCell ref="AB15:AF17"/>
    <mergeCell ref="D18:J20"/>
    <mergeCell ref="M18:Q20"/>
    <mergeCell ref="T18:X20"/>
    <mergeCell ref="Y18:Y20"/>
    <mergeCell ref="AB18:AF20"/>
    <mergeCell ref="D9:J11"/>
    <mergeCell ref="M9:Q11"/>
    <mergeCell ref="T9:X11"/>
    <mergeCell ref="Y9:Y11"/>
    <mergeCell ref="AB9:AF11"/>
    <mergeCell ref="D12:J14"/>
    <mergeCell ref="M12:Q14"/>
    <mergeCell ref="T12:X14"/>
    <mergeCell ref="Y12:Y14"/>
    <mergeCell ref="AB12:AF14"/>
    <mergeCell ref="D3:J5"/>
    <mergeCell ref="M3:Q5"/>
    <mergeCell ref="T3:X5"/>
    <mergeCell ref="Y3:Y5"/>
    <mergeCell ref="AB3:AF5"/>
    <mergeCell ref="D6:J8"/>
    <mergeCell ref="M6:Q8"/>
    <mergeCell ref="T6:X8"/>
    <mergeCell ref="Y6:Y8"/>
    <mergeCell ref="AB6:AF8"/>
  </mergeCells>
  <conditionalFormatting sqref="B3 B6 B9 B12 B15 B18 B21 B24 B27 B30 B33 B36 B39 B42 B45 B48 B51 B54 B57 B60 B63 B66 B69 B72 B75 B78 B81 B84 B87 B90 B93 B96 B99 B102 B105 B108 B111 B114 B117 B120 B123 B126 B129 B132 B135 B138 B141 B144 B147 B150 B153 B156 B159 B162 B165 B168 B171 B174 B177 B180">
    <cfRule type="containsText" dxfId="86" priority="65" operator="containsText" text="CFA"/>
    <cfRule type="containsText" dxfId="85" priority="66" operator="containsText" text="Professionnel"/>
  </conditionalFormatting>
  <conditionalFormatting sqref="B183">
    <cfRule type="containsText" dxfId="84" priority="64" operator="containsText" text="Professionnel"/>
    <cfRule type="containsText" dxfId="83" priority="63" operator="containsText" text="CFA"/>
  </conditionalFormatting>
  <conditionalFormatting sqref="B186">
    <cfRule type="containsText" dxfId="82" priority="62" operator="containsText" text="Professionnel"/>
    <cfRule type="containsText" dxfId="81" priority="61" operator="containsText" text="CFA"/>
  </conditionalFormatting>
  <conditionalFormatting sqref="B189">
    <cfRule type="containsText" dxfId="80" priority="60" operator="containsText" text="Professionnel"/>
    <cfRule type="containsText" dxfId="79" priority="59" operator="containsText" text="CFA"/>
  </conditionalFormatting>
  <conditionalFormatting sqref="B192">
    <cfRule type="containsText" dxfId="78" priority="58" operator="containsText" text="Professionnel"/>
    <cfRule type="containsText" dxfId="77" priority="57" operator="containsText" text="CFA"/>
  </conditionalFormatting>
  <conditionalFormatting sqref="B195">
    <cfRule type="containsText" dxfId="76" priority="56" operator="containsText" text="Professionnel"/>
    <cfRule type="containsText" dxfId="75" priority="55" operator="containsText" text="CFA"/>
  </conditionalFormatting>
  <conditionalFormatting sqref="B198">
    <cfRule type="containsText" dxfId="74" priority="54" operator="containsText" text="Professionnel"/>
    <cfRule type="containsText" dxfId="73" priority="53" operator="containsText" text="CFA"/>
  </conditionalFormatting>
  <conditionalFormatting sqref="B201">
    <cfRule type="containsText" dxfId="72" priority="52" operator="containsText" text="Professionnel"/>
    <cfRule type="containsText" dxfId="71" priority="51" operator="containsText" text="CFA"/>
  </conditionalFormatting>
  <conditionalFormatting sqref="B204">
    <cfRule type="containsText" dxfId="70" priority="50" operator="containsText" text="Professionnel"/>
    <cfRule type="containsText" dxfId="69" priority="49" operator="containsText" text="CFA"/>
  </conditionalFormatting>
  <conditionalFormatting sqref="B207">
    <cfRule type="containsText" dxfId="68" priority="48" operator="containsText" text="Professionnel"/>
    <cfRule type="containsText" dxfId="67" priority="47" operator="containsText" text="CFA"/>
  </conditionalFormatting>
  <conditionalFormatting sqref="B210">
    <cfRule type="containsText" dxfId="66" priority="46" operator="containsText" text="Professionnel"/>
    <cfRule type="containsText" dxfId="65" priority="45" operator="containsText" text="CFA"/>
  </conditionalFormatting>
  <conditionalFormatting sqref="B213">
    <cfRule type="containsText" dxfId="64" priority="43" operator="containsText" text="CFA"/>
    <cfRule type="containsText" dxfId="63" priority="44" operator="containsText" text="Professionnel"/>
  </conditionalFormatting>
  <conditionalFormatting sqref="B216">
    <cfRule type="containsText" dxfId="62" priority="42" operator="containsText" text="Professionnel"/>
    <cfRule type="containsText" dxfId="61" priority="41" operator="containsText" text="CFA"/>
  </conditionalFormatting>
  <conditionalFormatting sqref="B219">
    <cfRule type="containsText" dxfId="60" priority="40" operator="containsText" text="Professionnel"/>
    <cfRule type="containsText" dxfId="59" priority="39" operator="containsText" text="CFA"/>
  </conditionalFormatting>
  <conditionalFormatting sqref="B222">
    <cfRule type="containsText" dxfId="58" priority="38" operator="containsText" text="Professionnel"/>
    <cfRule type="containsText" dxfId="57" priority="37" operator="containsText" text="CFA"/>
  </conditionalFormatting>
  <conditionalFormatting sqref="B225">
    <cfRule type="containsText" dxfId="56" priority="35" operator="containsText" text="CFA"/>
    <cfRule type="containsText" dxfId="55" priority="36" operator="containsText" text="Professionnel"/>
  </conditionalFormatting>
  <conditionalFormatting sqref="B228 B231 B234 B237 B240 B243 B246 B249 B252 B255 B258 B261 B264 B267 B270 B273 B276 B279 B282 B285 B288 B291 B294 B297 B300 B303 B306 B309 B312 B315 B318 B321 B324 B327 B330 B333 B336 B339 B342 B345 B348 B351 B354 B357 B360 B363 B366 B369 B372 B375 B378 B381 B384 B387 B390 B393 B396 B399 B402 B405">
    <cfRule type="containsText" dxfId="54" priority="34" operator="containsText" text="Professionnel"/>
    <cfRule type="containsText" dxfId="53" priority="33" operator="containsText" text="CFA"/>
  </conditionalFormatting>
  <conditionalFormatting sqref="B408">
    <cfRule type="containsText" dxfId="52" priority="32" operator="containsText" text="Professionnel"/>
    <cfRule type="containsText" dxfId="51" priority="31" operator="containsText" text="CFA"/>
  </conditionalFormatting>
  <conditionalFormatting sqref="B411">
    <cfRule type="containsText" dxfId="50" priority="30" operator="containsText" text="Professionnel"/>
    <cfRule type="containsText" dxfId="49" priority="29" operator="containsText" text="CFA"/>
  </conditionalFormatting>
  <conditionalFormatting sqref="B414">
    <cfRule type="containsText" dxfId="48" priority="27" operator="containsText" text="CFA"/>
    <cfRule type="containsText" dxfId="47" priority="28" operator="containsText" text="Professionnel"/>
  </conditionalFormatting>
  <conditionalFormatting sqref="B417">
    <cfRule type="containsText" dxfId="46" priority="26" operator="containsText" text="Professionnel"/>
    <cfRule type="containsText" dxfId="45" priority="25" operator="containsText" text="CFA"/>
  </conditionalFormatting>
  <conditionalFormatting sqref="B420">
    <cfRule type="containsText" dxfId="44" priority="24" operator="containsText" text="Professionnel"/>
    <cfRule type="containsText" dxfId="43" priority="23" operator="containsText" text="CFA"/>
  </conditionalFormatting>
  <conditionalFormatting sqref="B423">
    <cfRule type="containsText" dxfId="42" priority="22" operator="containsText" text="Professionnel"/>
    <cfRule type="containsText" dxfId="41" priority="21" operator="containsText" text="CFA"/>
  </conditionalFormatting>
  <conditionalFormatting sqref="B426">
    <cfRule type="containsText" dxfId="40" priority="19" operator="containsText" text="CFA"/>
    <cfRule type="containsText" dxfId="39" priority="20" operator="containsText" text="Professionnel"/>
  </conditionalFormatting>
  <conditionalFormatting sqref="B429">
    <cfRule type="containsText" dxfId="38" priority="18" operator="containsText" text="Professionnel"/>
    <cfRule type="containsText" dxfId="37" priority="17" operator="containsText" text="CFA"/>
  </conditionalFormatting>
  <conditionalFormatting sqref="B432">
    <cfRule type="containsText" dxfId="36" priority="16" operator="containsText" text="Professionnel"/>
    <cfRule type="containsText" dxfId="35" priority="15" operator="containsText" text="CFA"/>
  </conditionalFormatting>
  <conditionalFormatting sqref="B435">
    <cfRule type="containsText" dxfId="34" priority="14" operator="containsText" text="Professionnel"/>
    <cfRule type="containsText" dxfId="33" priority="13" operator="containsText" text="CFA"/>
  </conditionalFormatting>
  <conditionalFormatting sqref="B438">
    <cfRule type="containsText" dxfId="32" priority="11" operator="containsText" text="CFA"/>
    <cfRule type="containsText" dxfId="31" priority="12" operator="containsText" text="Professionnel"/>
  </conditionalFormatting>
  <conditionalFormatting sqref="B441">
    <cfRule type="containsText" dxfId="30" priority="10" operator="containsText" text="Professionnel"/>
    <cfRule type="containsText" dxfId="29" priority="9" operator="containsText" text="CFA"/>
  </conditionalFormatting>
  <conditionalFormatting sqref="B444">
    <cfRule type="containsText" dxfId="28" priority="8" operator="containsText" text="Professionnel"/>
    <cfRule type="containsText" dxfId="27" priority="7" operator="containsText" text="CFA"/>
  </conditionalFormatting>
  <conditionalFormatting sqref="B447">
    <cfRule type="containsText" dxfId="26" priority="6" operator="containsText" text="Professionnel"/>
    <cfRule type="containsText" dxfId="25" priority="5" operator="containsText" text="CFA"/>
  </conditionalFormatting>
  <conditionalFormatting sqref="B450">
    <cfRule type="containsText" dxfId="24" priority="2" operator="containsText" text="Professionnel"/>
    <cfRule type="containsText" dxfId="23" priority="1" operator="containsText" text="CFA"/>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1"/>
  <sheetViews>
    <sheetView showGridLines="0" workbookViewId="0"/>
  </sheetViews>
  <sheetFormatPr baseColWidth="10" defaultColWidth="9" defaultRowHeight="15" x14ac:dyDescent="0.25"/>
  <cols>
    <col min="1" max="1" width="8" customWidth="1"/>
    <col min="2" max="6" width="28" customWidth="1"/>
  </cols>
  <sheetData>
    <row r="1" spans="1:6" ht="21" customHeight="1" x14ac:dyDescent="0.25">
      <c r="A1" s="17" t="s">
        <v>15</v>
      </c>
      <c r="B1" s="18" t="s">
        <v>846</v>
      </c>
      <c r="C1" s="18" t="s">
        <v>847</v>
      </c>
      <c r="D1" s="18" t="s">
        <v>848</v>
      </c>
      <c r="E1" s="18" t="s">
        <v>849</v>
      </c>
      <c r="F1" s="19" t="s">
        <v>850</v>
      </c>
    </row>
    <row r="2" spans="1:6" ht="24" customHeight="1" x14ac:dyDescent="0.25">
      <c r="A2" s="15">
        <v>1</v>
      </c>
      <c r="B2" s="10" t="s">
        <v>1043</v>
      </c>
      <c r="C2" s="10" t="s">
        <v>1263</v>
      </c>
      <c r="D2" s="10" t="s">
        <v>1140</v>
      </c>
      <c r="E2" s="10" t="s">
        <v>910</v>
      </c>
      <c r="F2" s="5" t="s">
        <v>940</v>
      </c>
    </row>
    <row r="3" spans="1:6" ht="24" customHeight="1" x14ac:dyDescent="0.25">
      <c r="A3" s="15">
        <v>2</v>
      </c>
      <c r="B3" s="11" t="s">
        <v>1100</v>
      </c>
      <c r="C3" s="11" t="s">
        <v>1368</v>
      </c>
      <c r="D3" s="11" t="s">
        <v>910</v>
      </c>
      <c r="E3" s="11" t="s">
        <v>869</v>
      </c>
      <c r="F3" s="7" t="s">
        <v>918</v>
      </c>
    </row>
    <row r="4" spans="1:6" ht="24" customHeight="1" x14ac:dyDescent="0.25">
      <c r="A4" s="15">
        <v>3</v>
      </c>
      <c r="B4" s="11" t="s">
        <v>1112</v>
      </c>
      <c r="C4" s="11" t="s">
        <v>910</v>
      </c>
      <c r="D4" s="11" t="s">
        <v>869</v>
      </c>
      <c r="E4" s="11" t="s">
        <v>918</v>
      </c>
      <c r="F4" s="7" t="s">
        <v>940</v>
      </c>
    </row>
    <row r="5" spans="1:6" ht="24" customHeight="1" x14ac:dyDescent="0.25">
      <c r="A5" s="15">
        <v>4</v>
      </c>
      <c r="B5" s="11" t="s">
        <v>1086</v>
      </c>
      <c r="C5" s="11" t="s">
        <v>910</v>
      </c>
      <c r="D5" s="11" t="s">
        <v>869</v>
      </c>
      <c r="E5" s="11" t="s">
        <v>918</v>
      </c>
      <c r="F5" s="7" t="s">
        <v>940</v>
      </c>
    </row>
    <row r="6" spans="1:6" ht="24" customHeight="1" x14ac:dyDescent="0.25">
      <c r="A6" s="15">
        <v>5</v>
      </c>
      <c r="B6" s="11" t="s">
        <v>910</v>
      </c>
      <c r="C6" s="11" t="s">
        <v>869</v>
      </c>
      <c r="D6" s="11" t="s">
        <v>918</v>
      </c>
      <c r="E6" s="11" t="s">
        <v>940</v>
      </c>
      <c r="F6" s="7" t="s">
        <v>1140</v>
      </c>
    </row>
    <row r="7" spans="1:6" ht="24" customHeight="1" x14ac:dyDescent="0.25">
      <c r="A7" s="15">
        <v>6</v>
      </c>
      <c r="B7" s="11" t="s">
        <v>1086</v>
      </c>
      <c r="C7" s="11" t="s">
        <v>1100</v>
      </c>
      <c r="D7" s="11" t="s">
        <v>1112</v>
      </c>
      <c r="E7" s="11" t="s">
        <v>1368</v>
      </c>
      <c r="F7" s="7" t="s">
        <v>869</v>
      </c>
    </row>
    <row r="8" spans="1:6" ht="24" customHeight="1" x14ac:dyDescent="0.25">
      <c r="A8" s="15">
        <v>7</v>
      </c>
      <c r="B8" s="11" t="s">
        <v>1368</v>
      </c>
      <c r="C8" s="11" t="s">
        <v>1245</v>
      </c>
      <c r="D8" s="11" t="s">
        <v>869</v>
      </c>
      <c r="E8" s="11" t="s">
        <v>910</v>
      </c>
      <c r="F8" s="7" t="s">
        <v>918</v>
      </c>
    </row>
    <row r="9" spans="1:6" ht="24" customHeight="1" x14ac:dyDescent="0.25">
      <c r="A9" s="15">
        <v>8</v>
      </c>
      <c r="B9" s="11" t="s">
        <v>1043</v>
      </c>
      <c r="C9" s="11" t="s">
        <v>960</v>
      </c>
      <c r="D9" s="11" t="s">
        <v>910</v>
      </c>
      <c r="E9" s="11" t="s">
        <v>940</v>
      </c>
      <c r="F9" s="7" t="s">
        <v>869</v>
      </c>
    </row>
    <row r="10" spans="1:6" ht="24" customHeight="1" x14ac:dyDescent="0.25">
      <c r="A10" s="15">
        <v>9</v>
      </c>
      <c r="B10" s="11" t="s">
        <v>910</v>
      </c>
      <c r="C10" s="11" t="s">
        <v>940</v>
      </c>
      <c r="D10" s="11" t="s">
        <v>869</v>
      </c>
      <c r="E10" s="11" t="s">
        <v>918</v>
      </c>
      <c r="F10" s="7" t="s">
        <v>1140</v>
      </c>
    </row>
    <row r="11" spans="1:6" ht="24" customHeight="1" x14ac:dyDescent="0.25">
      <c r="A11" s="15">
        <v>10</v>
      </c>
      <c r="B11" s="11" t="s">
        <v>1064</v>
      </c>
      <c r="C11" s="11" t="s">
        <v>1299</v>
      </c>
      <c r="D11" s="11" t="s">
        <v>910</v>
      </c>
      <c r="E11" s="11" t="s">
        <v>940</v>
      </c>
      <c r="F11" s="7" t="s">
        <v>869</v>
      </c>
    </row>
    <row r="12" spans="1:6" ht="24" customHeight="1" x14ac:dyDescent="0.25">
      <c r="A12" s="15">
        <v>11</v>
      </c>
      <c r="B12" s="11" t="s">
        <v>1064</v>
      </c>
      <c r="C12" s="11" t="s">
        <v>1299</v>
      </c>
      <c r="D12" s="11" t="s">
        <v>1313</v>
      </c>
      <c r="E12" s="11" t="s">
        <v>940</v>
      </c>
      <c r="F12" s="7" t="s">
        <v>869</v>
      </c>
    </row>
    <row r="13" spans="1:6" ht="24" customHeight="1" x14ac:dyDescent="0.25">
      <c r="A13" s="15">
        <v>12</v>
      </c>
      <c r="B13" s="11" t="s">
        <v>1043</v>
      </c>
      <c r="C13" s="11" t="s">
        <v>1064</v>
      </c>
      <c r="D13" s="11" t="s">
        <v>910</v>
      </c>
      <c r="E13" s="11" t="s">
        <v>940</v>
      </c>
      <c r="F13" s="7" t="s">
        <v>869</v>
      </c>
    </row>
    <row r="14" spans="1:6" ht="24" customHeight="1" x14ac:dyDescent="0.25">
      <c r="A14" s="15">
        <v>13</v>
      </c>
      <c r="B14" s="11" t="s">
        <v>1121</v>
      </c>
      <c r="C14" s="11" t="s">
        <v>869</v>
      </c>
      <c r="D14" s="11" t="s">
        <v>910</v>
      </c>
      <c r="E14" s="11" t="s">
        <v>918</v>
      </c>
      <c r="F14" s="7" t="s">
        <v>940</v>
      </c>
    </row>
    <row r="15" spans="1:6" ht="24" customHeight="1" x14ac:dyDescent="0.25">
      <c r="A15" s="15">
        <v>14</v>
      </c>
      <c r="B15" s="11" t="s">
        <v>1121</v>
      </c>
      <c r="C15" s="11" t="s">
        <v>1022</v>
      </c>
      <c r="D15" s="11" t="s">
        <v>1043</v>
      </c>
      <c r="E15" s="11" t="s">
        <v>869</v>
      </c>
      <c r="F15" s="7" t="s">
        <v>940</v>
      </c>
    </row>
    <row r="16" spans="1:6" ht="24" customHeight="1" x14ac:dyDescent="0.25">
      <c r="A16" s="15">
        <v>15</v>
      </c>
      <c r="B16" s="11" t="s">
        <v>910</v>
      </c>
      <c r="C16" s="11" t="s">
        <v>940</v>
      </c>
      <c r="D16" s="11" t="s">
        <v>869</v>
      </c>
      <c r="E16" s="11" t="s">
        <v>918</v>
      </c>
      <c r="F16" s="7" t="s">
        <v>1140</v>
      </c>
    </row>
    <row r="17" spans="1:6" ht="24" customHeight="1" x14ac:dyDescent="0.25">
      <c r="A17" s="15">
        <v>16</v>
      </c>
      <c r="B17" s="11" t="s">
        <v>1156</v>
      </c>
      <c r="C17" s="11" t="s">
        <v>918</v>
      </c>
      <c r="D17" s="11" t="s">
        <v>869</v>
      </c>
      <c r="E17" s="11" t="s">
        <v>910</v>
      </c>
      <c r="F17" s="7" t="s">
        <v>940</v>
      </c>
    </row>
    <row r="18" spans="1:6" ht="24" customHeight="1" x14ac:dyDescent="0.25">
      <c r="A18" s="15">
        <v>17</v>
      </c>
      <c r="B18" s="11" t="s">
        <v>1280</v>
      </c>
      <c r="C18" s="11" t="s">
        <v>910</v>
      </c>
      <c r="D18" s="11" t="s">
        <v>869</v>
      </c>
      <c r="E18" s="11" t="s">
        <v>918</v>
      </c>
      <c r="F18" s="7" t="s">
        <v>940</v>
      </c>
    </row>
    <row r="19" spans="1:6" ht="24" customHeight="1" x14ac:dyDescent="0.25">
      <c r="A19" s="15">
        <v>18</v>
      </c>
      <c r="B19" s="11" t="s">
        <v>1280</v>
      </c>
      <c r="C19" s="11" t="s">
        <v>910</v>
      </c>
      <c r="D19" s="11" t="s">
        <v>918</v>
      </c>
      <c r="E19" s="11" t="s">
        <v>1140</v>
      </c>
      <c r="F19" s="7" t="s">
        <v>869</v>
      </c>
    </row>
    <row r="20" spans="1:6" ht="24" customHeight="1" x14ac:dyDescent="0.25">
      <c r="A20" s="15">
        <v>19</v>
      </c>
      <c r="B20" s="11" t="s">
        <v>910</v>
      </c>
      <c r="C20" s="11" t="s">
        <v>869</v>
      </c>
      <c r="D20" s="11" t="s">
        <v>918</v>
      </c>
      <c r="E20" s="11" t="s">
        <v>940</v>
      </c>
      <c r="F20" s="7" t="s">
        <v>1140</v>
      </c>
    </row>
    <row r="21" spans="1:6" ht="24" customHeight="1" x14ac:dyDescent="0.25">
      <c r="A21" s="15">
        <v>20</v>
      </c>
      <c r="B21" s="11" t="s">
        <v>1280</v>
      </c>
      <c r="C21" s="11" t="s">
        <v>1140</v>
      </c>
      <c r="D21" s="11" t="s">
        <v>910</v>
      </c>
      <c r="E21" s="11" t="s">
        <v>890</v>
      </c>
      <c r="F21" s="7" t="s">
        <v>869</v>
      </c>
    </row>
    <row r="22" spans="1:6" ht="24" customHeight="1" x14ac:dyDescent="0.25">
      <c r="A22" s="15">
        <v>21</v>
      </c>
      <c r="B22" s="11" t="s">
        <v>981</v>
      </c>
      <c r="C22" s="11" t="s">
        <v>1175</v>
      </c>
      <c r="D22" s="11" t="s">
        <v>910</v>
      </c>
      <c r="E22" s="11" t="s">
        <v>869</v>
      </c>
      <c r="F22" s="7" t="s">
        <v>918</v>
      </c>
    </row>
    <row r="23" spans="1:6" ht="24" customHeight="1" x14ac:dyDescent="0.25">
      <c r="A23" s="15">
        <v>22</v>
      </c>
      <c r="B23" s="11" t="s">
        <v>1175</v>
      </c>
      <c r="C23" s="11" t="s">
        <v>981</v>
      </c>
      <c r="D23" s="11" t="s">
        <v>1003</v>
      </c>
      <c r="E23" s="11" t="s">
        <v>1140</v>
      </c>
      <c r="F23" s="7" t="s">
        <v>1210</v>
      </c>
    </row>
    <row r="24" spans="1:6" ht="24" customHeight="1" x14ac:dyDescent="0.25">
      <c r="A24" s="15">
        <v>23</v>
      </c>
      <c r="B24" s="11" t="s">
        <v>1140</v>
      </c>
      <c r="C24" s="11" t="s">
        <v>910</v>
      </c>
      <c r="D24" s="11" t="s">
        <v>869</v>
      </c>
      <c r="E24" s="11" t="s">
        <v>918</v>
      </c>
      <c r="F24" s="7" t="s">
        <v>940</v>
      </c>
    </row>
    <row r="25" spans="1:6" ht="24" customHeight="1" x14ac:dyDescent="0.25">
      <c r="A25" s="15">
        <v>24</v>
      </c>
      <c r="B25" s="11" t="s">
        <v>1368</v>
      </c>
      <c r="C25" s="11" t="s">
        <v>869</v>
      </c>
      <c r="D25" s="11" t="s">
        <v>910</v>
      </c>
      <c r="E25" s="11" t="s">
        <v>918</v>
      </c>
      <c r="F25" s="7" t="s">
        <v>940</v>
      </c>
    </row>
    <row r="26" spans="1:6" ht="24" customHeight="1" x14ac:dyDescent="0.25">
      <c r="A26" s="15">
        <v>25</v>
      </c>
      <c r="B26" s="11" t="s">
        <v>1086</v>
      </c>
      <c r="C26" s="11" t="s">
        <v>960</v>
      </c>
      <c r="D26" s="11" t="s">
        <v>1003</v>
      </c>
      <c r="E26" s="11" t="s">
        <v>910</v>
      </c>
      <c r="F26" s="7" t="s">
        <v>869</v>
      </c>
    </row>
    <row r="27" spans="1:6" ht="24" customHeight="1" x14ac:dyDescent="0.25">
      <c r="A27" s="15">
        <v>26</v>
      </c>
      <c r="B27" s="11" t="s">
        <v>1140</v>
      </c>
      <c r="C27" s="11" t="s">
        <v>910</v>
      </c>
      <c r="D27" s="11" t="s">
        <v>869</v>
      </c>
      <c r="E27" s="11" t="s">
        <v>918</v>
      </c>
      <c r="F27" s="7" t="s">
        <v>940</v>
      </c>
    </row>
    <row r="28" spans="1:6" ht="24" customHeight="1" x14ac:dyDescent="0.25">
      <c r="A28" s="15">
        <v>27</v>
      </c>
      <c r="B28" s="11" t="s">
        <v>910</v>
      </c>
      <c r="C28" s="11" t="s">
        <v>940</v>
      </c>
      <c r="D28" s="11" t="s">
        <v>869</v>
      </c>
      <c r="E28" s="11" t="s">
        <v>918</v>
      </c>
      <c r="F28" s="7" t="s">
        <v>1140</v>
      </c>
    </row>
    <row r="29" spans="1:6" ht="24" customHeight="1" x14ac:dyDescent="0.25">
      <c r="A29" s="15">
        <v>28</v>
      </c>
      <c r="B29" s="11" t="s">
        <v>1140</v>
      </c>
      <c r="C29" s="11" t="s">
        <v>918</v>
      </c>
      <c r="D29" s="11" t="s">
        <v>869</v>
      </c>
      <c r="E29" s="11" t="s">
        <v>910</v>
      </c>
      <c r="F29" s="7" t="s">
        <v>940</v>
      </c>
    </row>
    <row r="30" spans="1:6" ht="24" customHeight="1" x14ac:dyDescent="0.25">
      <c r="A30" s="15">
        <v>29</v>
      </c>
      <c r="B30" s="11" t="s">
        <v>1192</v>
      </c>
      <c r="C30" s="11" t="s">
        <v>910</v>
      </c>
      <c r="D30" s="11" t="s">
        <v>1331</v>
      </c>
      <c r="E30" s="11" t="s">
        <v>869</v>
      </c>
      <c r="F30" s="7" t="s">
        <v>918</v>
      </c>
    </row>
    <row r="31" spans="1:6" ht="24" customHeight="1" x14ac:dyDescent="0.25">
      <c r="A31" s="15">
        <v>30</v>
      </c>
      <c r="B31" s="11" t="s">
        <v>1022</v>
      </c>
      <c r="C31" s="11" t="s">
        <v>910</v>
      </c>
      <c r="D31" s="11" t="s">
        <v>869</v>
      </c>
      <c r="E31" s="11" t="s">
        <v>918</v>
      </c>
      <c r="F31" s="7" t="s">
        <v>940</v>
      </c>
    </row>
    <row r="32" spans="1:6" ht="24" customHeight="1" x14ac:dyDescent="0.25">
      <c r="A32" s="15">
        <v>31</v>
      </c>
      <c r="B32" s="11" t="s">
        <v>1022</v>
      </c>
      <c r="C32" s="11" t="s">
        <v>1043</v>
      </c>
      <c r="D32" s="11" t="s">
        <v>981</v>
      </c>
      <c r="E32" s="11" t="s">
        <v>1003</v>
      </c>
      <c r="F32" s="7" t="s">
        <v>1245</v>
      </c>
    </row>
    <row r="33" spans="1:6" ht="24" customHeight="1" x14ac:dyDescent="0.25">
      <c r="A33" s="15">
        <v>32</v>
      </c>
      <c r="B33" s="11" t="s">
        <v>1043</v>
      </c>
      <c r="C33" s="11" t="s">
        <v>960</v>
      </c>
      <c r="D33" s="11" t="s">
        <v>910</v>
      </c>
      <c r="E33" s="11" t="s">
        <v>940</v>
      </c>
      <c r="F33" s="7" t="s">
        <v>869</v>
      </c>
    </row>
    <row r="34" spans="1:6" ht="24" customHeight="1" x14ac:dyDescent="0.25">
      <c r="A34" s="15">
        <v>33</v>
      </c>
      <c r="B34" s="11" t="s">
        <v>1043</v>
      </c>
      <c r="C34" s="11" t="s">
        <v>960</v>
      </c>
      <c r="D34" s="11" t="s">
        <v>1263</v>
      </c>
      <c r="E34" s="11" t="s">
        <v>910</v>
      </c>
      <c r="F34" s="7" t="s">
        <v>940</v>
      </c>
    </row>
    <row r="35" spans="1:6" ht="24" customHeight="1" x14ac:dyDescent="0.25">
      <c r="A35" s="15">
        <v>34</v>
      </c>
      <c r="B35" s="11" t="s">
        <v>918</v>
      </c>
      <c r="C35" s="11" t="s">
        <v>910</v>
      </c>
      <c r="D35" s="11" t="s">
        <v>869</v>
      </c>
      <c r="E35" s="11" t="s">
        <v>940</v>
      </c>
      <c r="F35" s="7" t="s">
        <v>1140</v>
      </c>
    </row>
    <row r="36" spans="1:6" ht="24" customHeight="1" x14ac:dyDescent="0.25">
      <c r="A36" s="15">
        <v>35</v>
      </c>
      <c r="B36" s="11" t="s">
        <v>1210</v>
      </c>
      <c r="C36" s="11" t="s">
        <v>910</v>
      </c>
      <c r="D36" s="11" t="s">
        <v>869</v>
      </c>
      <c r="E36" s="11" t="s">
        <v>918</v>
      </c>
      <c r="F36" s="7" t="s">
        <v>940</v>
      </c>
    </row>
    <row r="37" spans="1:6" ht="24" customHeight="1" x14ac:dyDescent="0.25">
      <c r="A37" s="15">
        <v>36</v>
      </c>
      <c r="B37" s="11" t="s">
        <v>981</v>
      </c>
      <c r="C37" s="11" t="s">
        <v>960</v>
      </c>
      <c r="D37" s="11" t="s">
        <v>1003</v>
      </c>
      <c r="E37" s="11" t="s">
        <v>869</v>
      </c>
      <c r="F37" s="7" t="s">
        <v>940</v>
      </c>
    </row>
    <row r="38" spans="1:6" ht="24" customHeight="1" x14ac:dyDescent="0.25">
      <c r="A38" s="15">
        <v>37</v>
      </c>
      <c r="B38" s="11" t="s">
        <v>918</v>
      </c>
      <c r="C38" s="11" t="s">
        <v>910</v>
      </c>
      <c r="D38" s="11" t="s">
        <v>940</v>
      </c>
      <c r="E38" s="11" t="s">
        <v>869</v>
      </c>
      <c r="F38" s="7" t="s">
        <v>1140</v>
      </c>
    </row>
    <row r="39" spans="1:6" ht="24" customHeight="1" x14ac:dyDescent="0.25">
      <c r="A39" s="15">
        <v>38</v>
      </c>
      <c r="B39" s="11" t="s">
        <v>981</v>
      </c>
      <c r="C39" s="11" t="s">
        <v>869</v>
      </c>
      <c r="D39" s="11" t="s">
        <v>910</v>
      </c>
      <c r="E39" s="11" t="s">
        <v>918</v>
      </c>
      <c r="F39" s="7" t="s">
        <v>940</v>
      </c>
    </row>
    <row r="40" spans="1:6" ht="24" customHeight="1" x14ac:dyDescent="0.25">
      <c r="A40" s="15">
        <v>39</v>
      </c>
      <c r="B40" s="11" t="s">
        <v>981</v>
      </c>
      <c r="C40" s="11" t="s">
        <v>1003</v>
      </c>
      <c r="D40" s="11" t="s">
        <v>1192</v>
      </c>
      <c r="E40" s="11" t="s">
        <v>910</v>
      </c>
      <c r="F40" s="7" t="s">
        <v>869</v>
      </c>
    </row>
    <row r="41" spans="1:6" ht="24" customHeight="1" x14ac:dyDescent="0.25">
      <c r="A41" s="15">
        <v>40</v>
      </c>
      <c r="B41" s="11" t="s">
        <v>1003</v>
      </c>
      <c r="C41" s="11" t="s">
        <v>1280</v>
      </c>
      <c r="D41" s="11" t="s">
        <v>918</v>
      </c>
      <c r="E41" s="11" t="s">
        <v>910</v>
      </c>
      <c r="F41" s="7" t="s">
        <v>869</v>
      </c>
    </row>
    <row r="42" spans="1:6" ht="24" customHeight="1" x14ac:dyDescent="0.25">
      <c r="A42" s="15">
        <v>41</v>
      </c>
      <c r="B42" s="11" t="s">
        <v>1064</v>
      </c>
      <c r="C42" s="11" t="s">
        <v>960</v>
      </c>
      <c r="D42" s="11" t="s">
        <v>1299</v>
      </c>
      <c r="E42" s="11" t="s">
        <v>869</v>
      </c>
      <c r="F42" s="7" t="s">
        <v>910</v>
      </c>
    </row>
    <row r="43" spans="1:6" ht="24" customHeight="1" x14ac:dyDescent="0.25">
      <c r="A43" s="15">
        <v>42</v>
      </c>
      <c r="B43" s="11" t="s">
        <v>1192</v>
      </c>
      <c r="C43" s="11" t="s">
        <v>910</v>
      </c>
      <c r="D43" s="11" t="s">
        <v>869</v>
      </c>
      <c r="E43" s="11" t="s">
        <v>918</v>
      </c>
      <c r="F43" s="7" t="s">
        <v>940</v>
      </c>
    </row>
    <row r="44" spans="1:6" ht="24" customHeight="1" x14ac:dyDescent="0.25">
      <c r="A44" s="15">
        <v>43</v>
      </c>
      <c r="B44" s="11" t="s">
        <v>1140</v>
      </c>
      <c r="C44" s="11" t="s">
        <v>918</v>
      </c>
      <c r="D44" s="11" t="s">
        <v>910</v>
      </c>
      <c r="E44" s="11" t="s">
        <v>869</v>
      </c>
      <c r="F44" s="7" t="s">
        <v>940</v>
      </c>
    </row>
    <row r="45" spans="1:6" ht="24" customHeight="1" x14ac:dyDescent="0.25">
      <c r="A45" s="15">
        <v>44</v>
      </c>
      <c r="B45" s="11" t="s">
        <v>1043</v>
      </c>
      <c r="C45" s="11" t="s">
        <v>910</v>
      </c>
      <c r="D45" s="11" t="s">
        <v>940</v>
      </c>
      <c r="E45" s="11" t="s">
        <v>1313</v>
      </c>
      <c r="F45" s="7" t="s">
        <v>869</v>
      </c>
    </row>
    <row r="46" spans="1:6" ht="24" customHeight="1" x14ac:dyDescent="0.25">
      <c r="A46" s="15">
        <v>45</v>
      </c>
      <c r="B46" s="11" t="s">
        <v>981</v>
      </c>
      <c r="C46" s="11" t="s">
        <v>910</v>
      </c>
      <c r="D46" s="11" t="s">
        <v>869</v>
      </c>
      <c r="E46" s="11" t="s">
        <v>918</v>
      </c>
      <c r="F46" s="7" t="s">
        <v>940</v>
      </c>
    </row>
    <row r="47" spans="1:6" ht="24" customHeight="1" x14ac:dyDescent="0.25">
      <c r="A47" s="15">
        <v>46</v>
      </c>
      <c r="B47" s="11" t="s">
        <v>1121</v>
      </c>
      <c r="C47" s="11" t="s">
        <v>1022</v>
      </c>
      <c r="D47" s="11" t="s">
        <v>869</v>
      </c>
      <c r="E47" s="11" t="s">
        <v>910</v>
      </c>
      <c r="F47" s="7" t="s">
        <v>918</v>
      </c>
    </row>
    <row r="48" spans="1:6" ht="24" customHeight="1" x14ac:dyDescent="0.25">
      <c r="A48" s="15">
        <v>47</v>
      </c>
      <c r="B48" s="11" t="s">
        <v>1121</v>
      </c>
      <c r="C48" s="11" t="s">
        <v>869</v>
      </c>
      <c r="D48" s="11" t="s">
        <v>910</v>
      </c>
      <c r="E48" s="11" t="s">
        <v>918</v>
      </c>
      <c r="F48" s="7" t="s">
        <v>940</v>
      </c>
    </row>
    <row r="49" spans="1:6" ht="24" customHeight="1" x14ac:dyDescent="0.25">
      <c r="A49" s="15">
        <v>48</v>
      </c>
      <c r="B49" s="11" t="s">
        <v>1192</v>
      </c>
      <c r="C49" s="11" t="s">
        <v>940</v>
      </c>
      <c r="D49" s="11" t="s">
        <v>869</v>
      </c>
      <c r="E49" s="11" t="s">
        <v>910</v>
      </c>
      <c r="F49" s="7" t="s">
        <v>918</v>
      </c>
    </row>
    <row r="50" spans="1:6" ht="24" customHeight="1" x14ac:dyDescent="0.25">
      <c r="A50" s="15">
        <v>49</v>
      </c>
      <c r="B50" s="11" t="s">
        <v>910</v>
      </c>
      <c r="C50" s="11" t="s">
        <v>869</v>
      </c>
      <c r="D50" s="11" t="s">
        <v>918</v>
      </c>
      <c r="E50" s="11" t="s">
        <v>940</v>
      </c>
      <c r="F50" s="7" t="s">
        <v>1140</v>
      </c>
    </row>
    <row r="51" spans="1:6" ht="24" customHeight="1" x14ac:dyDescent="0.25">
      <c r="A51" s="15">
        <v>50</v>
      </c>
      <c r="B51" s="11" t="s">
        <v>1086</v>
      </c>
      <c r="C51" s="11" t="s">
        <v>981</v>
      </c>
      <c r="D51" s="11" t="s">
        <v>1003</v>
      </c>
      <c r="E51" s="11" t="s">
        <v>910</v>
      </c>
      <c r="F51" s="7" t="s">
        <v>1313</v>
      </c>
    </row>
    <row r="52" spans="1:6" ht="24" customHeight="1" x14ac:dyDescent="0.25">
      <c r="A52" s="15">
        <v>51</v>
      </c>
      <c r="B52" s="11" t="s">
        <v>1003</v>
      </c>
      <c r="C52" s="11" t="s">
        <v>981</v>
      </c>
      <c r="D52" s="11" t="s">
        <v>960</v>
      </c>
      <c r="E52" s="11" t="s">
        <v>940</v>
      </c>
      <c r="F52" s="7" t="s">
        <v>869</v>
      </c>
    </row>
    <row r="53" spans="1:6" ht="24" customHeight="1" x14ac:dyDescent="0.25">
      <c r="A53" s="15">
        <v>52</v>
      </c>
      <c r="B53" s="11" t="s">
        <v>1299</v>
      </c>
      <c r="C53" s="11" t="s">
        <v>1064</v>
      </c>
      <c r="D53" s="11" t="s">
        <v>1043</v>
      </c>
      <c r="E53" s="11" t="s">
        <v>1263</v>
      </c>
      <c r="F53" s="7" t="s">
        <v>869</v>
      </c>
    </row>
    <row r="54" spans="1:6" ht="24" customHeight="1" x14ac:dyDescent="0.25">
      <c r="A54" s="15">
        <v>53</v>
      </c>
      <c r="B54" s="11" t="s">
        <v>918</v>
      </c>
      <c r="C54" s="11" t="s">
        <v>910</v>
      </c>
      <c r="D54" s="11" t="s">
        <v>1140</v>
      </c>
      <c r="E54" s="11" t="s">
        <v>1003</v>
      </c>
      <c r="F54" s="7" t="s">
        <v>869</v>
      </c>
    </row>
    <row r="55" spans="1:6" ht="24" customHeight="1" x14ac:dyDescent="0.25">
      <c r="A55" s="15">
        <v>54</v>
      </c>
      <c r="B55" s="11" t="s">
        <v>1086</v>
      </c>
      <c r="C55" s="11" t="s">
        <v>1263</v>
      </c>
      <c r="D55" s="11" t="s">
        <v>960</v>
      </c>
      <c r="E55" s="11" t="s">
        <v>1064</v>
      </c>
      <c r="F55" s="7" t="s">
        <v>1245</v>
      </c>
    </row>
    <row r="56" spans="1:6" ht="24" customHeight="1" x14ac:dyDescent="0.25">
      <c r="A56" s="15">
        <v>55</v>
      </c>
      <c r="B56" s="11" t="s">
        <v>1280</v>
      </c>
      <c r="C56" s="11" t="s">
        <v>910</v>
      </c>
      <c r="D56" s="11" t="s">
        <v>890</v>
      </c>
      <c r="E56" s="11" t="s">
        <v>1313</v>
      </c>
      <c r="F56" s="7" t="s">
        <v>869</v>
      </c>
    </row>
    <row r="57" spans="1:6" ht="24" customHeight="1" x14ac:dyDescent="0.25">
      <c r="A57" s="15">
        <v>56</v>
      </c>
      <c r="B57" s="11" t="s">
        <v>1313</v>
      </c>
      <c r="C57" s="11" t="s">
        <v>910</v>
      </c>
      <c r="D57" s="11" t="s">
        <v>918</v>
      </c>
      <c r="E57" s="11" t="s">
        <v>960</v>
      </c>
      <c r="F57" s="7" t="s">
        <v>1299</v>
      </c>
    </row>
    <row r="58" spans="1:6" ht="24" customHeight="1" x14ac:dyDescent="0.25">
      <c r="A58" s="15">
        <v>57</v>
      </c>
      <c r="B58" s="11" t="s">
        <v>960</v>
      </c>
      <c r="C58" s="11" t="s">
        <v>1313</v>
      </c>
      <c r="D58" s="11" t="s">
        <v>869</v>
      </c>
      <c r="E58" s="11" t="s">
        <v>910</v>
      </c>
      <c r="F58" s="7" t="s">
        <v>918</v>
      </c>
    </row>
    <row r="59" spans="1:6" ht="24" customHeight="1" x14ac:dyDescent="0.25">
      <c r="A59" s="15">
        <v>58</v>
      </c>
      <c r="B59" s="11" t="s">
        <v>981</v>
      </c>
      <c r="C59" s="11" t="s">
        <v>918</v>
      </c>
      <c r="D59" s="11" t="s">
        <v>1331</v>
      </c>
      <c r="E59" s="11" t="s">
        <v>869</v>
      </c>
      <c r="F59" s="7" t="s">
        <v>910</v>
      </c>
    </row>
    <row r="60" spans="1:6" ht="24" customHeight="1" x14ac:dyDescent="0.25">
      <c r="A60" s="15">
        <v>59</v>
      </c>
      <c r="B60" s="11" t="s">
        <v>981</v>
      </c>
      <c r="C60" s="11" t="s">
        <v>910</v>
      </c>
      <c r="D60" s="11" t="s">
        <v>1313</v>
      </c>
      <c r="E60" s="11" t="s">
        <v>869</v>
      </c>
      <c r="F60" s="7" t="s">
        <v>918</v>
      </c>
    </row>
    <row r="61" spans="1:6" ht="24" customHeight="1" x14ac:dyDescent="0.25">
      <c r="A61" s="15">
        <v>60</v>
      </c>
      <c r="B61" s="11" t="s">
        <v>1156</v>
      </c>
      <c r="C61" s="11" t="s">
        <v>910</v>
      </c>
      <c r="D61" s="11" t="s">
        <v>869</v>
      </c>
      <c r="E61" s="11" t="s">
        <v>918</v>
      </c>
      <c r="F61" s="7" t="s">
        <v>940</v>
      </c>
    </row>
    <row r="62" spans="1:6" ht="24" customHeight="1" x14ac:dyDescent="0.25">
      <c r="A62" s="15">
        <v>61</v>
      </c>
      <c r="B62" s="11" t="s">
        <v>1156</v>
      </c>
      <c r="C62" s="11" t="s">
        <v>1210</v>
      </c>
      <c r="D62" s="11" t="s">
        <v>869</v>
      </c>
      <c r="E62" s="11" t="s">
        <v>910</v>
      </c>
      <c r="F62" s="7" t="s">
        <v>918</v>
      </c>
    </row>
    <row r="63" spans="1:6" ht="24" customHeight="1" x14ac:dyDescent="0.25">
      <c r="A63" s="15">
        <v>62</v>
      </c>
      <c r="B63" s="11" t="s">
        <v>1022</v>
      </c>
      <c r="C63" s="11" t="s">
        <v>918</v>
      </c>
      <c r="D63" s="11" t="s">
        <v>869</v>
      </c>
      <c r="E63" s="11" t="s">
        <v>910</v>
      </c>
      <c r="F63" s="7" t="s">
        <v>940</v>
      </c>
    </row>
    <row r="64" spans="1:6" ht="24" customHeight="1" x14ac:dyDescent="0.25">
      <c r="A64" s="15">
        <v>63</v>
      </c>
      <c r="B64" s="11" t="s">
        <v>1043</v>
      </c>
      <c r="C64" s="11" t="s">
        <v>910</v>
      </c>
      <c r="D64" s="11" t="s">
        <v>940</v>
      </c>
      <c r="E64" s="11" t="s">
        <v>869</v>
      </c>
      <c r="F64" s="7" t="s">
        <v>918</v>
      </c>
    </row>
    <row r="65" spans="1:6" ht="24" customHeight="1" x14ac:dyDescent="0.25">
      <c r="A65" s="15">
        <v>64</v>
      </c>
      <c r="B65" s="11" t="s">
        <v>1003</v>
      </c>
      <c r="C65" s="11" t="s">
        <v>910</v>
      </c>
      <c r="D65" s="11" t="s">
        <v>869</v>
      </c>
      <c r="E65" s="11" t="s">
        <v>918</v>
      </c>
      <c r="F65" s="7" t="s">
        <v>940</v>
      </c>
    </row>
    <row r="66" spans="1:6" ht="24" customHeight="1" x14ac:dyDescent="0.25">
      <c r="A66" s="15">
        <v>65</v>
      </c>
      <c r="B66" s="11" t="s">
        <v>1003</v>
      </c>
      <c r="C66" s="11" t="s">
        <v>960</v>
      </c>
      <c r="D66" s="11" t="s">
        <v>918</v>
      </c>
      <c r="E66" s="11" t="s">
        <v>869</v>
      </c>
      <c r="F66" s="7" t="s">
        <v>910</v>
      </c>
    </row>
    <row r="67" spans="1:6" ht="24" customHeight="1" x14ac:dyDescent="0.25">
      <c r="A67" s="15">
        <v>66</v>
      </c>
      <c r="B67" s="11" t="s">
        <v>1299</v>
      </c>
      <c r="C67" s="11" t="s">
        <v>910</v>
      </c>
      <c r="D67" s="11" t="s">
        <v>940</v>
      </c>
      <c r="E67" s="11" t="s">
        <v>869</v>
      </c>
      <c r="F67" s="7" t="s">
        <v>918</v>
      </c>
    </row>
    <row r="68" spans="1:6" ht="24" customHeight="1" x14ac:dyDescent="0.25">
      <c r="A68" s="15">
        <v>67</v>
      </c>
      <c r="B68" s="11" t="s">
        <v>1299</v>
      </c>
      <c r="C68" s="11" t="s">
        <v>910</v>
      </c>
      <c r="D68" s="11" t="s">
        <v>869</v>
      </c>
      <c r="E68" s="11" t="s">
        <v>918</v>
      </c>
      <c r="F68" s="7" t="s">
        <v>940</v>
      </c>
    </row>
    <row r="69" spans="1:6" ht="24" customHeight="1" x14ac:dyDescent="0.25">
      <c r="A69" s="15">
        <v>68</v>
      </c>
      <c r="B69" s="11" t="s">
        <v>910</v>
      </c>
      <c r="C69" s="11" t="s">
        <v>940</v>
      </c>
      <c r="D69" s="11" t="s">
        <v>890</v>
      </c>
      <c r="E69" s="11" t="s">
        <v>869</v>
      </c>
      <c r="F69" s="7" t="s">
        <v>918</v>
      </c>
    </row>
    <row r="70" spans="1:6" ht="24" customHeight="1" x14ac:dyDescent="0.25">
      <c r="A70" s="15">
        <v>69</v>
      </c>
      <c r="B70" s="11" t="s">
        <v>1086</v>
      </c>
      <c r="C70" s="11" t="s">
        <v>1043</v>
      </c>
      <c r="D70" s="11" t="s">
        <v>910</v>
      </c>
      <c r="E70" s="11" t="s">
        <v>940</v>
      </c>
      <c r="F70" s="7" t="s">
        <v>1331</v>
      </c>
    </row>
    <row r="71" spans="1:6" ht="24" customHeight="1" x14ac:dyDescent="0.25">
      <c r="A71" s="15">
        <v>70</v>
      </c>
      <c r="B71" s="11" t="s">
        <v>981</v>
      </c>
      <c r="C71" s="11" t="s">
        <v>1156</v>
      </c>
      <c r="D71" s="11" t="s">
        <v>1299</v>
      </c>
      <c r="E71" s="11" t="s">
        <v>910</v>
      </c>
      <c r="F71" s="7" t="s">
        <v>1331</v>
      </c>
    </row>
    <row r="72" spans="1:6" ht="24" customHeight="1" x14ac:dyDescent="0.25">
      <c r="A72" s="15">
        <v>71</v>
      </c>
      <c r="B72" s="11" t="s">
        <v>1156</v>
      </c>
      <c r="C72" s="11" t="s">
        <v>981</v>
      </c>
      <c r="D72" s="11" t="s">
        <v>1003</v>
      </c>
      <c r="E72" s="11" t="s">
        <v>1331</v>
      </c>
      <c r="F72" s="7" t="s">
        <v>910</v>
      </c>
    </row>
    <row r="73" spans="1:6" ht="24" customHeight="1" x14ac:dyDescent="0.25">
      <c r="A73" s="15">
        <v>72</v>
      </c>
      <c r="B73" s="11" t="s">
        <v>1043</v>
      </c>
      <c r="C73" s="11" t="s">
        <v>1245</v>
      </c>
      <c r="D73" s="11" t="s">
        <v>910</v>
      </c>
      <c r="E73" s="11" t="s">
        <v>940</v>
      </c>
      <c r="F73" s="7" t="s">
        <v>869</v>
      </c>
    </row>
    <row r="74" spans="1:6" ht="24" customHeight="1" x14ac:dyDescent="0.25">
      <c r="A74" s="15">
        <v>73</v>
      </c>
      <c r="B74" s="11" t="s">
        <v>981</v>
      </c>
      <c r="C74" s="11" t="s">
        <v>1299</v>
      </c>
      <c r="D74" s="11" t="s">
        <v>910</v>
      </c>
      <c r="E74" s="11" t="s">
        <v>940</v>
      </c>
      <c r="F74" s="7" t="s">
        <v>869</v>
      </c>
    </row>
    <row r="75" spans="1:6" ht="24" customHeight="1" x14ac:dyDescent="0.25">
      <c r="A75" s="15">
        <v>74</v>
      </c>
      <c r="B75" s="11" t="s">
        <v>1086</v>
      </c>
      <c r="C75" s="11" t="s">
        <v>960</v>
      </c>
      <c r="D75" s="11" t="s">
        <v>910</v>
      </c>
      <c r="E75" s="11" t="s">
        <v>869</v>
      </c>
      <c r="F75" s="7" t="s">
        <v>918</v>
      </c>
    </row>
    <row r="76" spans="1:6" ht="24" customHeight="1" x14ac:dyDescent="0.25">
      <c r="A76" s="15">
        <v>75</v>
      </c>
      <c r="B76" s="11" t="s">
        <v>1064</v>
      </c>
      <c r="C76" s="11" t="s">
        <v>910</v>
      </c>
      <c r="D76" s="11" t="s">
        <v>869</v>
      </c>
      <c r="E76" s="11" t="s">
        <v>918</v>
      </c>
      <c r="F76" s="7" t="s">
        <v>940</v>
      </c>
    </row>
    <row r="77" spans="1:6" ht="24" customHeight="1" x14ac:dyDescent="0.25">
      <c r="A77" s="15">
        <v>76</v>
      </c>
      <c r="B77" s="11" t="s">
        <v>1043</v>
      </c>
      <c r="C77" s="11" t="s">
        <v>1245</v>
      </c>
      <c r="D77" s="11" t="s">
        <v>910</v>
      </c>
      <c r="E77" s="11" t="s">
        <v>940</v>
      </c>
      <c r="F77" s="7" t="s">
        <v>869</v>
      </c>
    </row>
    <row r="78" spans="1:6" ht="24" customHeight="1" x14ac:dyDescent="0.25">
      <c r="A78" s="15">
        <v>77</v>
      </c>
      <c r="B78" s="11" t="s">
        <v>1121</v>
      </c>
      <c r="C78" s="11" t="s">
        <v>1227</v>
      </c>
      <c r="D78" s="11" t="s">
        <v>910</v>
      </c>
      <c r="E78" s="11" t="s">
        <v>869</v>
      </c>
      <c r="F78" s="7" t="s">
        <v>918</v>
      </c>
    </row>
    <row r="79" spans="1:6" ht="24" customHeight="1" x14ac:dyDescent="0.25">
      <c r="A79" s="15">
        <v>78</v>
      </c>
      <c r="B79" s="11" t="s">
        <v>1086</v>
      </c>
      <c r="C79" s="11" t="s">
        <v>1100</v>
      </c>
      <c r="D79" s="11" t="s">
        <v>1112</v>
      </c>
      <c r="E79" s="11" t="s">
        <v>910</v>
      </c>
      <c r="F79" s="7" t="s">
        <v>1331</v>
      </c>
    </row>
    <row r="80" spans="1:6" ht="24" customHeight="1" x14ac:dyDescent="0.25">
      <c r="A80" s="15">
        <v>79</v>
      </c>
      <c r="B80" s="11" t="s">
        <v>1086</v>
      </c>
      <c r="C80" s="11" t="s">
        <v>1100</v>
      </c>
      <c r="D80" s="11" t="s">
        <v>1043</v>
      </c>
      <c r="E80" s="11" t="s">
        <v>910</v>
      </c>
      <c r="F80" s="7" t="s">
        <v>940</v>
      </c>
    </row>
    <row r="81" spans="1:6" ht="24" customHeight="1" x14ac:dyDescent="0.25">
      <c r="A81" s="15">
        <v>80</v>
      </c>
      <c r="B81" s="11" t="s">
        <v>1121</v>
      </c>
      <c r="C81" s="11" t="s">
        <v>1064</v>
      </c>
      <c r="D81" s="11" t="s">
        <v>981</v>
      </c>
      <c r="E81" s="11" t="s">
        <v>1003</v>
      </c>
      <c r="F81" s="7" t="s">
        <v>1245</v>
      </c>
    </row>
    <row r="82" spans="1:6" ht="24" customHeight="1" x14ac:dyDescent="0.25">
      <c r="A82" s="15">
        <v>81</v>
      </c>
      <c r="B82" s="11" t="s">
        <v>1349</v>
      </c>
      <c r="C82" s="11" t="s">
        <v>981</v>
      </c>
      <c r="D82" s="11" t="s">
        <v>1043</v>
      </c>
      <c r="E82" s="11" t="s">
        <v>960</v>
      </c>
      <c r="F82" s="7" t="s">
        <v>1299</v>
      </c>
    </row>
    <row r="83" spans="1:6" ht="24" customHeight="1" x14ac:dyDescent="0.25">
      <c r="A83" s="15">
        <v>82</v>
      </c>
      <c r="B83" s="11" t="s">
        <v>1086</v>
      </c>
      <c r="C83" s="11" t="s">
        <v>981</v>
      </c>
      <c r="D83" s="11" t="s">
        <v>1227</v>
      </c>
      <c r="E83" s="11" t="s">
        <v>910</v>
      </c>
      <c r="F83" s="7" t="s">
        <v>869</v>
      </c>
    </row>
    <row r="84" spans="1:6" ht="24" customHeight="1" x14ac:dyDescent="0.25">
      <c r="A84" s="15">
        <v>83</v>
      </c>
      <c r="B84" s="11" t="s">
        <v>1227</v>
      </c>
      <c r="C84" s="11" t="s">
        <v>1121</v>
      </c>
      <c r="D84" s="11" t="s">
        <v>910</v>
      </c>
      <c r="E84" s="11" t="s">
        <v>1192</v>
      </c>
      <c r="F84" s="7" t="s">
        <v>1245</v>
      </c>
    </row>
    <row r="85" spans="1:6" ht="24" customHeight="1" x14ac:dyDescent="0.25">
      <c r="A85" s="15">
        <v>84</v>
      </c>
      <c r="B85" s="11" t="s">
        <v>1227</v>
      </c>
      <c r="C85" s="11" t="s">
        <v>1121</v>
      </c>
      <c r="D85" s="11" t="s">
        <v>1192</v>
      </c>
      <c r="E85" s="11" t="s">
        <v>1156</v>
      </c>
      <c r="F85" s="7" t="s">
        <v>1331</v>
      </c>
    </row>
    <row r="86" spans="1:6" ht="24" customHeight="1" x14ac:dyDescent="0.25">
      <c r="A86" s="15">
        <v>85</v>
      </c>
      <c r="B86" s="11" t="s">
        <v>1043</v>
      </c>
      <c r="C86" s="11" t="s">
        <v>1140</v>
      </c>
      <c r="D86" s="11" t="s">
        <v>910</v>
      </c>
      <c r="E86" s="11" t="s">
        <v>940</v>
      </c>
      <c r="F86" s="7" t="s">
        <v>1349</v>
      </c>
    </row>
    <row r="87" spans="1:6" ht="24" customHeight="1" x14ac:dyDescent="0.25">
      <c r="A87" s="15">
        <v>86</v>
      </c>
      <c r="B87" s="11" t="s">
        <v>1349</v>
      </c>
      <c r="C87" s="11" t="s">
        <v>1245</v>
      </c>
      <c r="D87" s="11" t="s">
        <v>1043</v>
      </c>
      <c r="E87" s="11" t="s">
        <v>1022</v>
      </c>
      <c r="F87" s="7" t="s">
        <v>1121</v>
      </c>
    </row>
    <row r="88" spans="1:6" ht="24" customHeight="1" x14ac:dyDescent="0.25">
      <c r="A88" s="15">
        <v>87</v>
      </c>
      <c r="B88" s="11" t="s">
        <v>1064</v>
      </c>
      <c r="C88" s="11" t="s">
        <v>1299</v>
      </c>
      <c r="D88" s="11" t="s">
        <v>910</v>
      </c>
      <c r="E88" s="11" t="s">
        <v>869</v>
      </c>
      <c r="F88" s="7" t="s">
        <v>918</v>
      </c>
    </row>
    <row r="89" spans="1:6" ht="24" customHeight="1" x14ac:dyDescent="0.25">
      <c r="A89" s="15">
        <v>88</v>
      </c>
      <c r="B89" s="11" t="s">
        <v>960</v>
      </c>
      <c r="C89" s="11" t="s">
        <v>918</v>
      </c>
      <c r="D89" s="11" t="s">
        <v>869</v>
      </c>
      <c r="E89" s="11" t="s">
        <v>910</v>
      </c>
      <c r="F89" s="7" t="s">
        <v>940</v>
      </c>
    </row>
    <row r="90" spans="1:6" ht="24" customHeight="1" x14ac:dyDescent="0.25">
      <c r="A90" s="15">
        <v>89</v>
      </c>
      <c r="B90" s="11" t="s">
        <v>1280</v>
      </c>
      <c r="C90" s="11" t="s">
        <v>918</v>
      </c>
      <c r="D90" s="11" t="s">
        <v>869</v>
      </c>
      <c r="E90" s="11" t="s">
        <v>910</v>
      </c>
      <c r="F90" s="7" t="s">
        <v>940</v>
      </c>
    </row>
    <row r="91" spans="1:6" ht="24" customHeight="1" x14ac:dyDescent="0.25">
      <c r="A91" s="15">
        <v>90</v>
      </c>
      <c r="B91" s="11" t="s">
        <v>1121</v>
      </c>
      <c r="C91" s="11" t="s">
        <v>1227</v>
      </c>
      <c r="D91" s="11" t="s">
        <v>1280</v>
      </c>
      <c r="E91" s="11" t="s">
        <v>910</v>
      </c>
      <c r="F91" s="7" t="s">
        <v>1192</v>
      </c>
    </row>
    <row r="92" spans="1:6" ht="24" customHeight="1" x14ac:dyDescent="0.25">
      <c r="A92" s="15">
        <v>91</v>
      </c>
      <c r="B92" s="11" t="s">
        <v>1064</v>
      </c>
      <c r="C92" s="11" t="s">
        <v>910</v>
      </c>
      <c r="D92" s="11" t="s">
        <v>869</v>
      </c>
      <c r="E92" s="11" t="s">
        <v>918</v>
      </c>
      <c r="F92" s="7" t="s">
        <v>940</v>
      </c>
    </row>
    <row r="93" spans="1:6" ht="24" customHeight="1" x14ac:dyDescent="0.25">
      <c r="A93" s="15">
        <v>92</v>
      </c>
      <c r="B93" s="11" t="s">
        <v>1121</v>
      </c>
      <c r="C93" s="11" t="s">
        <v>1022</v>
      </c>
      <c r="D93" s="11" t="s">
        <v>1043</v>
      </c>
      <c r="E93" s="11" t="s">
        <v>869</v>
      </c>
      <c r="F93" s="7" t="s">
        <v>910</v>
      </c>
    </row>
    <row r="94" spans="1:6" ht="24" customHeight="1" x14ac:dyDescent="0.25">
      <c r="A94" s="15">
        <v>93</v>
      </c>
      <c r="B94" s="11" t="s">
        <v>1086</v>
      </c>
      <c r="C94" s="11" t="s">
        <v>1280</v>
      </c>
      <c r="D94" s="11" t="s">
        <v>910</v>
      </c>
      <c r="E94" s="11" t="s">
        <v>869</v>
      </c>
      <c r="F94" s="7" t="s">
        <v>918</v>
      </c>
    </row>
    <row r="95" spans="1:6" ht="24" customHeight="1" x14ac:dyDescent="0.25">
      <c r="A95" s="15">
        <v>94</v>
      </c>
      <c r="B95" s="11" t="s">
        <v>1121</v>
      </c>
      <c r="C95" s="11" t="s">
        <v>1022</v>
      </c>
      <c r="D95" s="11" t="s">
        <v>1043</v>
      </c>
      <c r="E95" s="11" t="s">
        <v>1349</v>
      </c>
      <c r="F95" s="7" t="s">
        <v>869</v>
      </c>
    </row>
    <row r="96" spans="1:6" ht="24" customHeight="1" x14ac:dyDescent="0.25">
      <c r="A96" s="15">
        <v>95</v>
      </c>
      <c r="B96" s="11" t="s">
        <v>1121</v>
      </c>
      <c r="C96" s="11" t="s">
        <v>1043</v>
      </c>
      <c r="D96" s="11" t="s">
        <v>960</v>
      </c>
      <c r="E96" s="11" t="s">
        <v>1192</v>
      </c>
      <c r="F96" s="7" t="s">
        <v>1140</v>
      </c>
    </row>
    <row r="97" spans="1:6" ht="24" customHeight="1" x14ac:dyDescent="0.25">
      <c r="A97" s="15">
        <v>96</v>
      </c>
      <c r="B97" s="11" t="s">
        <v>1299</v>
      </c>
      <c r="C97" s="11" t="s">
        <v>1263</v>
      </c>
      <c r="D97" s="11" t="s">
        <v>1003</v>
      </c>
      <c r="E97" s="11" t="s">
        <v>1043</v>
      </c>
      <c r="F97" s="7" t="s">
        <v>869</v>
      </c>
    </row>
    <row r="98" spans="1:6" ht="24" customHeight="1" x14ac:dyDescent="0.25">
      <c r="A98" s="15">
        <v>97</v>
      </c>
      <c r="B98" s="11" t="s">
        <v>981</v>
      </c>
      <c r="C98" s="11" t="s">
        <v>960</v>
      </c>
      <c r="D98" s="11" t="s">
        <v>1175</v>
      </c>
      <c r="E98" s="11" t="s">
        <v>1140</v>
      </c>
      <c r="F98" s="7" t="s">
        <v>910</v>
      </c>
    </row>
    <row r="99" spans="1:6" ht="24" customHeight="1" x14ac:dyDescent="0.25">
      <c r="A99" s="15">
        <v>98</v>
      </c>
      <c r="B99" s="11" t="s">
        <v>1368</v>
      </c>
      <c r="C99" s="11" t="s">
        <v>910</v>
      </c>
      <c r="D99" s="11" t="s">
        <v>869</v>
      </c>
      <c r="E99" s="11" t="s">
        <v>918</v>
      </c>
      <c r="F99" s="7" t="s">
        <v>940</v>
      </c>
    </row>
    <row r="100" spans="1:6" ht="24" customHeight="1" x14ac:dyDescent="0.25">
      <c r="A100" s="15">
        <v>99</v>
      </c>
      <c r="B100" s="11" t="s">
        <v>1245</v>
      </c>
      <c r="C100" s="11" t="s">
        <v>1140</v>
      </c>
      <c r="D100" s="11" t="s">
        <v>910</v>
      </c>
      <c r="E100" s="11" t="s">
        <v>869</v>
      </c>
      <c r="F100" s="7" t="s">
        <v>918</v>
      </c>
    </row>
    <row r="101" spans="1:6" ht="24" customHeight="1" x14ac:dyDescent="0.25">
      <c r="A101" s="15">
        <v>100</v>
      </c>
      <c r="B101" s="11" t="s">
        <v>1227</v>
      </c>
      <c r="C101" s="11" t="s">
        <v>910</v>
      </c>
      <c r="D101" s="11" t="s">
        <v>940</v>
      </c>
      <c r="E101" s="11" t="s">
        <v>869</v>
      </c>
      <c r="F101" s="7" t="s">
        <v>918</v>
      </c>
    </row>
    <row r="102" spans="1:6" ht="24" customHeight="1" x14ac:dyDescent="0.25">
      <c r="A102" s="15">
        <v>101</v>
      </c>
      <c r="B102" s="11" t="s">
        <v>1043</v>
      </c>
      <c r="C102" s="11" t="s">
        <v>1140</v>
      </c>
      <c r="D102" s="11" t="s">
        <v>910</v>
      </c>
      <c r="E102" s="11" t="s">
        <v>869</v>
      </c>
      <c r="F102" s="7" t="s">
        <v>918</v>
      </c>
    </row>
    <row r="103" spans="1:6" ht="24" customHeight="1" x14ac:dyDescent="0.25">
      <c r="A103" s="15">
        <v>102</v>
      </c>
      <c r="B103" s="11" t="s">
        <v>1121</v>
      </c>
      <c r="C103" s="11" t="s">
        <v>981</v>
      </c>
      <c r="D103" s="11" t="s">
        <v>1156</v>
      </c>
      <c r="E103" s="11" t="s">
        <v>1192</v>
      </c>
      <c r="F103" s="7" t="s">
        <v>910</v>
      </c>
    </row>
    <row r="104" spans="1:6" ht="24" customHeight="1" x14ac:dyDescent="0.25">
      <c r="A104" s="15">
        <v>103</v>
      </c>
      <c r="B104" s="11" t="s">
        <v>910</v>
      </c>
      <c r="C104" s="11" t="s">
        <v>869</v>
      </c>
      <c r="D104" s="11" t="s">
        <v>918</v>
      </c>
      <c r="E104" s="11" t="s">
        <v>940</v>
      </c>
      <c r="F104" s="7" t="s">
        <v>1140</v>
      </c>
    </row>
    <row r="105" spans="1:6" ht="24" customHeight="1" x14ac:dyDescent="0.25">
      <c r="A105" s="15">
        <v>104</v>
      </c>
      <c r="B105" s="11" t="s">
        <v>1022</v>
      </c>
      <c r="C105" s="11" t="s">
        <v>910</v>
      </c>
      <c r="D105" s="11" t="s">
        <v>869</v>
      </c>
      <c r="E105" s="11" t="s">
        <v>918</v>
      </c>
      <c r="F105" s="7" t="s">
        <v>940</v>
      </c>
    </row>
    <row r="106" spans="1:6" ht="24" customHeight="1" x14ac:dyDescent="0.25">
      <c r="A106" s="15">
        <v>105</v>
      </c>
      <c r="B106" s="11" t="s">
        <v>1121</v>
      </c>
      <c r="C106" s="11" t="s">
        <v>910</v>
      </c>
      <c r="D106" s="11" t="s">
        <v>869</v>
      </c>
      <c r="E106" s="11" t="s">
        <v>918</v>
      </c>
      <c r="F106" s="7" t="s">
        <v>940</v>
      </c>
    </row>
    <row r="107" spans="1:6" ht="24" customHeight="1" x14ac:dyDescent="0.25">
      <c r="A107" s="15">
        <v>106</v>
      </c>
      <c r="B107" s="11" t="s">
        <v>1210</v>
      </c>
      <c r="C107" s="11" t="s">
        <v>1192</v>
      </c>
      <c r="D107" s="11" t="s">
        <v>910</v>
      </c>
      <c r="E107" s="11" t="s">
        <v>940</v>
      </c>
      <c r="F107" s="7" t="s">
        <v>1313</v>
      </c>
    </row>
    <row r="108" spans="1:6" ht="24" customHeight="1" x14ac:dyDescent="0.25">
      <c r="A108" s="15">
        <v>107</v>
      </c>
      <c r="B108" s="11" t="s">
        <v>1210</v>
      </c>
      <c r="C108" s="11" t="s">
        <v>1156</v>
      </c>
      <c r="D108" s="11" t="s">
        <v>1192</v>
      </c>
      <c r="E108" s="11" t="s">
        <v>1331</v>
      </c>
      <c r="F108" s="7" t="s">
        <v>940</v>
      </c>
    </row>
    <row r="109" spans="1:6" ht="24" customHeight="1" x14ac:dyDescent="0.25">
      <c r="A109" s="15">
        <v>108</v>
      </c>
      <c r="B109" s="11" t="s">
        <v>1064</v>
      </c>
      <c r="C109" s="11" t="s">
        <v>960</v>
      </c>
      <c r="D109" s="11" t="s">
        <v>1299</v>
      </c>
      <c r="E109" s="11" t="s">
        <v>869</v>
      </c>
      <c r="F109" s="7" t="s">
        <v>910</v>
      </c>
    </row>
    <row r="110" spans="1:6" ht="24" customHeight="1" x14ac:dyDescent="0.25">
      <c r="A110" s="15">
        <v>109</v>
      </c>
      <c r="B110" s="11" t="s">
        <v>1245</v>
      </c>
      <c r="C110" s="11" t="s">
        <v>869</v>
      </c>
      <c r="D110" s="11" t="s">
        <v>910</v>
      </c>
      <c r="E110" s="11" t="s">
        <v>918</v>
      </c>
      <c r="F110" s="7" t="s">
        <v>940</v>
      </c>
    </row>
    <row r="111" spans="1:6" ht="24" customHeight="1" x14ac:dyDescent="0.25">
      <c r="A111" s="15">
        <v>110</v>
      </c>
      <c r="B111" s="11" t="s">
        <v>918</v>
      </c>
      <c r="C111" s="11" t="s">
        <v>910</v>
      </c>
      <c r="D111" s="11" t="s">
        <v>869</v>
      </c>
      <c r="E111" s="11" t="s">
        <v>940</v>
      </c>
      <c r="F111" s="7" t="s">
        <v>1140</v>
      </c>
    </row>
    <row r="112" spans="1:6" ht="24" customHeight="1" x14ac:dyDescent="0.25">
      <c r="A112" s="15">
        <v>111</v>
      </c>
      <c r="B112" s="11" t="s">
        <v>981</v>
      </c>
      <c r="C112" s="11" t="s">
        <v>1003</v>
      </c>
      <c r="D112" s="11" t="s">
        <v>1156</v>
      </c>
      <c r="E112" s="11" t="s">
        <v>1210</v>
      </c>
      <c r="F112" s="7" t="s">
        <v>910</v>
      </c>
    </row>
    <row r="113" spans="1:6" ht="24" customHeight="1" x14ac:dyDescent="0.25">
      <c r="A113" s="15">
        <v>112</v>
      </c>
      <c r="B113" s="11" t="s">
        <v>1112</v>
      </c>
      <c r="C113" s="11" t="s">
        <v>1140</v>
      </c>
      <c r="D113" s="11" t="s">
        <v>910</v>
      </c>
      <c r="E113" s="11" t="s">
        <v>869</v>
      </c>
      <c r="F113" s="7" t="s">
        <v>918</v>
      </c>
    </row>
    <row r="114" spans="1:6" ht="24" customHeight="1" x14ac:dyDescent="0.25">
      <c r="A114" s="15">
        <v>113</v>
      </c>
      <c r="B114" s="11" t="s">
        <v>1121</v>
      </c>
      <c r="C114" s="11" t="s">
        <v>1192</v>
      </c>
      <c r="D114" s="11" t="s">
        <v>910</v>
      </c>
      <c r="E114" s="11" t="s">
        <v>869</v>
      </c>
      <c r="F114" s="7" t="s">
        <v>918</v>
      </c>
    </row>
    <row r="115" spans="1:6" ht="24" customHeight="1" x14ac:dyDescent="0.25">
      <c r="A115" s="15">
        <v>114</v>
      </c>
      <c r="B115" s="11" t="s">
        <v>1175</v>
      </c>
      <c r="C115" s="11" t="s">
        <v>910</v>
      </c>
      <c r="D115" s="11" t="s">
        <v>869</v>
      </c>
      <c r="E115" s="11" t="s">
        <v>918</v>
      </c>
      <c r="F115" s="7" t="s">
        <v>940</v>
      </c>
    </row>
    <row r="116" spans="1:6" ht="24" customHeight="1" x14ac:dyDescent="0.25">
      <c r="A116" s="15">
        <v>115</v>
      </c>
      <c r="B116" s="11" t="s">
        <v>1175</v>
      </c>
      <c r="C116" s="11" t="s">
        <v>1280</v>
      </c>
      <c r="D116" s="11" t="s">
        <v>910</v>
      </c>
      <c r="E116" s="11" t="s">
        <v>869</v>
      </c>
      <c r="F116" s="7" t="s">
        <v>918</v>
      </c>
    </row>
    <row r="117" spans="1:6" ht="24" customHeight="1" x14ac:dyDescent="0.25">
      <c r="A117" s="15">
        <v>116</v>
      </c>
      <c r="B117" s="11" t="s">
        <v>1245</v>
      </c>
      <c r="C117" s="11" t="s">
        <v>1043</v>
      </c>
      <c r="D117" s="11" t="s">
        <v>1022</v>
      </c>
      <c r="E117" s="11" t="s">
        <v>1313</v>
      </c>
      <c r="F117" s="7" t="s">
        <v>940</v>
      </c>
    </row>
    <row r="118" spans="1:6" ht="24" customHeight="1" x14ac:dyDescent="0.25">
      <c r="A118" s="15">
        <v>117</v>
      </c>
      <c r="B118" s="11" t="s">
        <v>1043</v>
      </c>
      <c r="C118" s="11" t="s">
        <v>960</v>
      </c>
      <c r="D118" s="11" t="s">
        <v>1263</v>
      </c>
      <c r="E118" s="11" t="s">
        <v>910</v>
      </c>
      <c r="F118" s="7" t="s">
        <v>940</v>
      </c>
    </row>
    <row r="119" spans="1:6" ht="24" customHeight="1" x14ac:dyDescent="0.25">
      <c r="A119" s="15">
        <v>118</v>
      </c>
      <c r="B119" s="11" t="s">
        <v>1263</v>
      </c>
      <c r="C119" s="11" t="s">
        <v>1368</v>
      </c>
      <c r="D119" s="11" t="s">
        <v>1043</v>
      </c>
      <c r="E119" s="11" t="s">
        <v>869</v>
      </c>
      <c r="F119" s="7" t="s">
        <v>940</v>
      </c>
    </row>
    <row r="120" spans="1:6" ht="24" customHeight="1" x14ac:dyDescent="0.25">
      <c r="A120" s="15">
        <v>119</v>
      </c>
      <c r="B120" s="11" t="s">
        <v>1003</v>
      </c>
      <c r="C120" s="11" t="s">
        <v>1140</v>
      </c>
      <c r="D120" s="11" t="s">
        <v>918</v>
      </c>
      <c r="E120" s="11" t="s">
        <v>910</v>
      </c>
      <c r="F120" s="7" t="s">
        <v>1331</v>
      </c>
    </row>
    <row r="121" spans="1:6" ht="24" customHeight="1" x14ac:dyDescent="0.25">
      <c r="A121" s="15">
        <v>120</v>
      </c>
      <c r="B121" s="11" t="s">
        <v>1280</v>
      </c>
      <c r="C121" s="11" t="s">
        <v>918</v>
      </c>
      <c r="D121" s="11" t="s">
        <v>869</v>
      </c>
      <c r="E121" s="11" t="s">
        <v>910</v>
      </c>
      <c r="F121" s="7" t="s">
        <v>940</v>
      </c>
    </row>
    <row r="122" spans="1:6" ht="24" customHeight="1" x14ac:dyDescent="0.25">
      <c r="A122" s="15">
        <v>121</v>
      </c>
      <c r="B122" s="11" t="s">
        <v>1121</v>
      </c>
      <c r="C122" s="11" t="s">
        <v>1140</v>
      </c>
      <c r="D122" s="11" t="s">
        <v>918</v>
      </c>
      <c r="E122" s="11" t="s">
        <v>910</v>
      </c>
      <c r="F122" s="7" t="s">
        <v>869</v>
      </c>
    </row>
    <row r="123" spans="1:6" ht="24" customHeight="1" x14ac:dyDescent="0.25">
      <c r="A123" s="15">
        <v>122</v>
      </c>
      <c r="B123" s="11" t="s">
        <v>1192</v>
      </c>
      <c r="C123" s="11" t="s">
        <v>910</v>
      </c>
      <c r="D123" s="11" t="s">
        <v>940</v>
      </c>
      <c r="E123" s="11" t="s">
        <v>869</v>
      </c>
      <c r="F123" s="7" t="s">
        <v>918</v>
      </c>
    </row>
    <row r="124" spans="1:6" ht="24" customHeight="1" x14ac:dyDescent="0.25">
      <c r="A124" s="15">
        <v>123</v>
      </c>
      <c r="B124" s="11" t="s">
        <v>1192</v>
      </c>
      <c r="C124" s="11" t="s">
        <v>940</v>
      </c>
      <c r="D124" s="11" t="s">
        <v>1331</v>
      </c>
      <c r="E124" s="11" t="s">
        <v>1156</v>
      </c>
      <c r="F124" s="7" t="s">
        <v>1210</v>
      </c>
    </row>
    <row r="125" spans="1:6" ht="24" customHeight="1" x14ac:dyDescent="0.25">
      <c r="A125" s="15">
        <v>124</v>
      </c>
      <c r="B125" s="11" t="s">
        <v>910</v>
      </c>
      <c r="C125" s="11" t="s">
        <v>869</v>
      </c>
      <c r="D125" s="11" t="s">
        <v>918</v>
      </c>
      <c r="E125" s="11" t="s">
        <v>940</v>
      </c>
      <c r="F125" s="7" t="s">
        <v>1140</v>
      </c>
    </row>
    <row r="126" spans="1:6" ht="24" customHeight="1" x14ac:dyDescent="0.25">
      <c r="A126" s="15">
        <v>125</v>
      </c>
      <c r="B126" s="11" t="s">
        <v>1140</v>
      </c>
      <c r="C126" s="11" t="s">
        <v>910</v>
      </c>
      <c r="D126" s="11" t="s">
        <v>918</v>
      </c>
      <c r="E126" s="11" t="s">
        <v>890</v>
      </c>
      <c r="F126" s="7" t="s">
        <v>869</v>
      </c>
    </row>
    <row r="127" spans="1:6" ht="24" customHeight="1" x14ac:dyDescent="0.25">
      <c r="A127" s="15">
        <v>126</v>
      </c>
      <c r="B127" s="11" t="s">
        <v>1086</v>
      </c>
      <c r="C127" s="11" t="s">
        <v>981</v>
      </c>
      <c r="D127" s="11" t="s">
        <v>1003</v>
      </c>
      <c r="E127" s="11" t="s">
        <v>910</v>
      </c>
      <c r="F127" s="7" t="s">
        <v>940</v>
      </c>
    </row>
    <row r="128" spans="1:6" ht="24" customHeight="1" x14ac:dyDescent="0.25">
      <c r="A128" s="15">
        <v>127</v>
      </c>
      <c r="B128" s="11" t="s">
        <v>1299</v>
      </c>
      <c r="C128" s="11" t="s">
        <v>910</v>
      </c>
      <c r="D128" s="11" t="s">
        <v>1331</v>
      </c>
      <c r="E128" s="11" t="s">
        <v>869</v>
      </c>
      <c r="F128" s="7" t="s">
        <v>918</v>
      </c>
    </row>
    <row r="129" spans="1:6" ht="24" customHeight="1" x14ac:dyDescent="0.25">
      <c r="A129" s="15">
        <v>128</v>
      </c>
      <c r="B129" s="11" t="s">
        <v>1331</v>
      </c>
      <c r="C129" s="11" t="s">
        <v>960</v>
      </c>
      <c r="D129" s="11" t="s">
        <v>981</v>
      </c>
      <c r="E129" s="11" t="s">
        <v>1003</v>
      </c>
      <c r="F129" s="7" t="s">
        <v>1156</v>
      </c>
    </row>
    <row r="130" spans="1:6" ht="24" customHeight="1" x14ac:dyDescent="0.25">
      <c r="A130" s="15">
        <v>129</v>
      </c>
      <c r="B130" s="11" t="s">
        <v>1121</v>
      </c>
      <c r="C130" s="11" t="s">
        <v>1043</v>
      </c>
      <c r="D130" s="11" t="s">
        <v>1064</v>
      </c>
      <c r="E130" s="11" t="s">
        <v>1299</v>
      </c>
      <c r="F130" s="7" t="s">
        <v>910</v>
      </c>
    </row>
    <row r="131" spans="1:6" ht="24" customHeight="1" x14ac:dyDescent="0.25">
      <c r="A131" s="15">
        <v>130</v>
      </c>
      <c r="B131" s="11" t="s">
        <v>1043</v>
      </c>
      <c r="C131" s="11" t="s">
        <v>910</v>
      </c>
      <c r="D131" s="11" t="s">
        <v>1313</v>
      </c>
      <c r="E131" s="11" t="s">
        <v>869</v>
      </c>
      <c r="F131" s="7" t="s">
        <v>918</v>
      </c>
    </row>
    <row r="132" spans="1:6" ht="24" customHeight="1" x14ac:dyDescent="0.25">
      <c r="A132" s="15">
        <v>131</v>
      </c>
      <c r="B132" s="11" t="s">
        <v>1368</v>
      </c>
      <c r="C132" s="11" t="s">
        <v>1086</v>
      </c>
      <c r="D132" s="11" t="s">
        <v>1100</v>
      </c>
      <c r="E132" s="11" t="s">
        <v>1331</v>
      </c>
      <c r="F132" s="7" t="s">
        <v>1299</v>
      </c>
    </row>
    <row r="133" spans="1:6" ht="24" customHeight="1" x14ac:dyDescent="0.25">
      <c r="A133" s="15">
        <v>132</v>
      </c>
      <c r="B133" s="11" t="s">
        <v>1121</v>
      </c>
      <c r="C133" s="11" t="s">
        <v>1156</v>
      </c>
      <c r="D133" s="11" t="s">
        <v>918</v>
      </c>
      <c r="E133" s="11" t="s">
        <v>869</v>
      </c>
      <c r="F133" s="7" t="s">
        <v>910</v>
      </c>
    </row>
    <row r="134" spans="1:6" ht="24" customHeight="1" x14ac:dyDescent="0.25">
      <c r="A134" s="15">
        <v>133</v>
      </c>
      <c r="B134" s="11" t="s">
        <v>918</v>
      </c>
      <c r="C134" s="11" t="s">
        <v>910</v>
      </c>
      <c r="D134" s="11" t="s">
        <v>940</v>
      </c>
      <c r="E134" s="11" t="s">
        <v>869</v>
      </c>
      <c r="F134" s="7" t="s">
        <v>1140</v>
      </c>
    </row>
    <row r="135" spans="1:6" ht="24" customHeight="1" x14ac:dyDescent="0.25">
      <c r="A135" s="15">
        <v>134</v>
      </c>
      <c r="B135" s="11" t="s">
        <v>1121</v>
      </c>
      <c r="C135" s="11" t="s">
        <v>1043</v>
      </c>
      <c r="D135" s="11" t="s">
        <v>981</v>
      </c>
      <c r="E135" s="11" t="s">
        <v>1003</v>
      </c>
      <c r="F135" s="7" t="s">
        <v>960</v>
      </c>
    </row>
    <row r="136" spans="1:6" ht="24" customHeight="1" x14ac:dyDescent="0.25">
      <c r="A136" s="15">
        <v>135</v>
      </c>
      <c r="B136" s="11" t="s">
        <v>1100</v>
      </c>
      <c r="C136" s="11" t="s">
        <v>910</v>
      </c>
      <c r="D136" s="11" t="s">
        <v>869</v>
      </c>
      <c r="E136" s="11" t="s">
        <v>918</v>
      </c>
      <c r="F136" s="7" t="s">
        <v>940</v>
      </c>
    </row>
    <row r="137" spans="1:6" ht="24" customHeight="1" x14ac:dyDescent="0.25">
      <c r="A137" s="15">
        <v>136</v>
      </c>
      <c r="B137" s="11" t="s">
        <v>1022</v>
      </c>
      <c r="C137" s="11" t="s">
        <v>1043</v>
      </c>
      <c r="D137" s="11" t="s">
        <v>1245</v>
      </c>
      <c r="E137" s="11" t="s">
        <v>918</v>
      </c>
      <c r="F137" s="7" t="s">
        <v>940</v>
      </c>
    </row>
    <row r="138" spans="1:6" ht="24" customHeight="1" x14ac:dyDescent="0.25">
      <c r="A138" s="15">
        <v>137</v>
      </c>
      <c r="B138" s="11" t="s">
        <v>981</v>
      </c>
      <c r="C138" s="11" t="s">
        <v>1003</v>
      </c>
      <c r="D138" s="11" t="s">
        <v>960</v>
      </c>
      <c r="E138" s="11" t="s">
        <v>1245</v>
      </c>
      <c r="F138" s="7" t="s">
        <v>910</v>
      </c>
    </row>
    <row r="139" spans="1:6" ht="24" customHeight="1" x14ac:dyDescent="0.25">
      <c r="A139" s="15">
        <v>138</v>
      </c>
      <c r="B139" s="11" t="s">
        <v>981</v>
      </c>
      <c r="C139" s="11" t="s">
        <v>1210</v>
      </c>
      <c r="D139" s="11" t="s">
        <v>910</v>
      </c>
      <c r="E139" s="11" t="s">
        <v>940</v>
      </c>
      <c r="F139" s="7" t="s">
        <v>869</v>
      </c>
    </row>
    <row r="140" spans="1:6" ht="24" customHeight="1" x14ac:dyDescent="0.25">
      <c r="A140" s="15">
        <v>139</v>
      </c>
      <c r="B140" s="11" t="s">
        <v>1100</v>
      </c>
      <c r="C140" s="11" t="s">
        <v>910</v>
      </c>
      <c r="D140" s="11" t="s">
        <v>940</v>
      </c>
      <c r="E140" s="11" t="s">
        <v>1331</v>
      </c>
      <c r="F140" s="7" t="s">
        <v>869</v>
      </c>
    </row>
    <row r="141" spans="1:6" ht="24" customHeight="1" x14ac:dyDescent="0.25">
      <c r="A141" s="15">
        <v>140</v>
      </c>
      <c r="B141" s="11" t="s">
        <v>1245</v>
      </c>
      <c r="C141" s="11" t="s">
        <v>1299</v>
      </c>
      <c r="D141" s="11" t="s">
        <v>910</v>
      </c>
      <c r="E141" s="11" t="s">
        <v>940</v>
      </c>
      <c r="F141" s="7" t="s">
        <v>869</v>
      </c>
    </row>
    <row r="142" spans="1:6" ht="24" customHeight="1" x14ac:dyDescent="0.25">
      <c r="A142" s="15">
        <v>141</v>
      </c>
      <c r="B142" s="11" t="s">
        <v>1086</v>
      </c>
      <c r="C142" s="11" t="s">
        <v>1121</v>
      </c>
      <c r="D142" s="11" t="s">
        <v>1043</v>
      </c>
      <c r="E142" s="11" t="s">
        <v>1064</v>
      </c>
      <c r="F142" s="7" t="s">
        <v>981</v>
      </c>
    </row>
    <row r="143" spans="1:6" ht="24" customHeight="1" x14ac:dyDescent="0.25">
      <c r="A143" s="15">
        <v>142</v>
      </c>
      <c r="B143" s="11" t="s">
        <v>981</v>
      </c>
      <c r="C143" s="11" t="s">
        <v>1227</v>
      </c>
      <c r="D143" s="11" t="s">
        <v>918</v>
      </c>
      <c r="E143" s="11" t="s">
        <v>869</v>
      </c>
      <c r="F143" s="7" t="s">
        <v>910</v>
      </c>
    </row>
    <row r="144" spans="1:6" ht="24" customHeight="1" x14ac:dyDescent="0.25">
      <c r="A144" s="15">
        <v>143</v>
      </c>
      <c r="B144" s="11" t="s">
        <v>1280</v>
      </c>
      <c r="C144" s="11" t="s">
        <v>910</v>
      </c>
      <c r="D144" s="11" t="s">
        <v>869</v>
      </c>
      <c r="E144" s="11" t="s">
        <v>918</v>
      </c>
      <c r="F144" s="7" t="s">
        <v>940</v>
      </c>
    </row>
    <row r="145" spans="1:6" ht="24" customHeight="1" x14ac:dyDescent="0.25">
      <c r="A145" s="15">
        <v>144</v>
      </c>
      <c r="B145" s="11" t="s">
        <v>1121</v>
      </c>
      <c r="C145" s="11" t="s">
        <v>1192</v>
      </c>
      <c r="D145" s="11" t="s">
        <v>1368</v>
      </c>
      <c r="E145" s="11" t="s">
        <v>1043</v>
      </c>
      <c r="F145" s="7" t="s">
        <v>1349</v>
      </c>
    </row>
    <row r="146" spans="1:6" ht="24" customHeight="1" x14ac:dyDescent="0.25">
      <c r="A146" s="15">
        <v>145</v>
      </c>
      <c r="B146" s="11" t="s">
        <v>1086</v>
      </c>
      <c r="C146" s="11" t="s">
        <v>910</v>
      </c>
      <c r="D146" s="11" t="s">
        <v>869</v>
      </c>
      <c r="E146" s="11" t="s">
        <v>918</v>
      </c>
      <c r="F146" s="7" t="s">
        <v>940</v>
      </c>
    </row>
    <row r="147" spans="1:6" ht="24" customHeight="1" x14ac:dyDescent="0.25">
      <c r="A147" s="15">
        <v>146</v>
      </c>
      <c r="B147" s="11" t="s">
        <v>1022</v>
      </c>
      <c r="C147" s="11" t="s">
        <v>981</v>
      </c>
      <c r="D147" s="11" t="s">
        <v>1156</v>
      </c>
      <c r="E147" s="11" t="s">
        <v>869</v>
      </c>
      <c r="F147" s="7" t="s">
        <v>910</v>
      </c>
    </row>
    <row r="148" spans="1:6" ht="24" customHeight="1" x14ac:dyDescent="0.25">
      <c r="A148" s="15">
        <v>147</v>
      </c>
      <c r="B148" s="11" t="s">
        <v>981</v>
      </c>
      <c r="C148" s="11" t="s">
        <v>1156</v>
      </c>
      <c r="D148" s="11" t="s">
        <v>1299</v>
      </c>
      <c r="E148" s="11" t="s">
        <v>1140</v>
      </c>
      <c r="F148" s="7" t="s">
        <v>910</v>
      </c>
    </row>
    <row r="149" spans="1:6" ht="24" customHeight="1" x14ac:dyDescent="0.25">
      <c r="A149" s="15">
        <v>148</v>
      </c>
      <c r="B149" s="11" t="s">
        <v>1175</v>
      </c>
      <c r="C149" s="11" t="s">
        <v>1140</v>
      </c>
      <c r="D149" s="11" t="s">
        <v>1003</v>
      </c>
      <c r="E149" s="11" t="s">
        <v>981</v>
      </c>
      <c r="F149" s="7" t="s">
        <v>1210</v>
      </c>
    </row>
    <row r="150" spans="1:6" ht="24" customHeight="1" x14ac:dyDescent="0.25">
      <c r="A150" s="15">
        <v>149</v>
      </c>
      <c r="B150" s="11" t="s">
        <v>981</v>
      </c>
      <c r="C150" s="11" t="s">
        <v>1175</v>
      </c>
      <c r="D150" s="11" t="s">
        <v>918</v>
      </c>
      <c r="E150" s="11" t="s">
        <v>869</v>
      </c>
      <c r="F150" s="7" t="s">
        <v>910</v>
      </c>
    </row>
    <row r="151" spans="1:6" ht="24" customHeight="1" x14ac:dyDescent="0.25">
      <c r="A151" s="15">
        <v>150</v>
      </c>
      <c r="B151" s="12" t="s">
        <v>1086</v>
      </c>
      <c r="C151" s="12" t="s">
        <v>910</v>
      </c>
      <c r="D151" s="12" t="s">
        <v>869</v>
      </c>
      <c r="E151" s="12" t="s">
        <v>918</v>
      </c>
      <c r="F151" s="9" t="s">
        <v>940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0"/>
  <sheetViews>
    <sheetView showGridLines="0" workbookViewId="0"/>
  </sheetViews>
  <sheetFormatPr baseColWidth="10" defaultColWidth="9" defaultRowHeight="15.75" x14ac:dyDescent="0.25"/>
  <cols>
    <col min="1" max="1" width="28" style="20" customWidth="1"/>
    <col min="2" max="2" width="34" style="20" customWidth="1"/>
    <col min="3" max="3" width="9" style="20" customWidth="1"/>
    <col min="4" max="5" width="58" style="20" customWidth="1"/>
    <col min="6" max="23" width="18" style="20" customWidth="1"/>
    <col min="24" max="16384" width="9" style="20"/>
  </cols>
  <sheetData>
    <row r="1" spans="1:23" ht="15" customHeight="1" x14ac:dyDescent="0.25">
      <c r="A1" s="2" t="s">
        <v>16</v>
      </c>
      <c r="B1" s="14" t="s">
        <v>17</v>
      </c>
      <c r="C1" s="14" t="s">
        <v>20</v>
      </c>
      <c r="D1" s="14" t="s">
        <v>21</v>
      </c>
      <c r="E1" s="14" t="s">
        <v>22</v>
      </c>
      <c r="F1" s="14" t="s">
        <v>851</v>
      </c>
      <c r="G1" s="14" t="s">
        <v>852</v>
      </c>
      <c r="H1" s="14" t="s">
        <v>853</v>
      </c>
      <c r="I1" s="14" t="s">
        <v>854</v>
      </c>
      <c r="J1" s="14" t="s">
        <v>855</v>
      </c>
      <c r="K1" s="14" t="s">
        <v>856</v>
      </c>
      <c r="L1" s="14" t="s">
        <v>857</v>
      </c>
      <c r="M1" s="14" t="s">
        <v>858</v>
      </c>
      <c r="N1" s="14" t="s">
        <v>859</v>
      </c>
      <c r="O1" s="3" t="s">
        <v>860</v>
      </c>
      <c r="P1" s="14" t="s">
        <v>861</v>
      </c>
      <c r="Q1" s="14" t="s">
        <v>862</v>
      </c>
      <c r="R1" s="14" t="s">
        <v>863</v>
      </c>
      <c r="S1" s="14" t="s">
        <v>864</v>
      </c>
      <c r="T1" s="14" t="s">
        <v>865</v>
      </c>
      <c r="U1" s="14" t="s">
        <v>866</v>
      </c>
      <c r="V1" s="14" t="s">
        <v>867</v>
      </c>
      <c r="W1" s="14" t="s">
        <v>868</v>
      </c>
    </row>
    <row r="2" spans="1:23" ht="42" customHeight="1" x14ac:dyDescent="0.25">
      <c r="A2" s="4" t="s">
        <v>869</v>
      </c>
      <c r="B2" s="10" t="s">
        <v>870</v>
      </c>
      <c r="C2" s="10">
        <v>4</v>
      </c>
      <c r="D2" s="10" t="s">
        <v>871</v>
      </c>
      <c r="E2" s="10" t="s">
        <v>872</v>
      </c>
      <c r="F2" s="21" t="s">
        <v>873</v>
      </c>
      <c r="G2" s="21" t="s">
        <v>874</v>
      </c>
      <c r="H2" s="21" t="s">
        <v>875</v>
      </c>
      <c r="I2" s="21" t="s">
        <v>876</v>
      </c>
      <c r="J2" s="21" t="s">
        <v>877</v>
      </c>
      <c r="K2" s="21" t="s">
        <v>878</v>
      </c>
      <c r="L2" s="21" t="s">
        <v>879</v>
      </c>
      <c r="M2" s="21" t="s">
        <v>880</v>
      </c>
      <c r="N2" s="21" t="s">
        <v>881</v>
      </c>
      <c r="O2" s="21" t="s">
        <v>882</v>
      </c>
      <c r="P2" s="21" t="s">
        <v>883</v>
      </c>
      <c r="Q2" s="21" t="s">
        <v>884</v>
      </c>
      <c r="R2" s="21" t="s">
        <v>885</v>
      </c>
      <c r="S2" s="21" t="s">
        <v>886</v>
      </c>
      <c r="T2" s="21" t="s">
        <v>887</v>
      </c>
      <c r="U2" s="21" t="s">
        <v>875</v>
      </c>
      <c r="V2" s="21" t="s">
        <v>888</v>
      </c>
      <c r="W2" s="21" t="s">
        <v>889</v>
      </c>
    </row>
    <row r="3" spans="1:23" ht="42" customHeight="1" x14ac:dyDescent="0.25">
      <c r="A3" s="6" t="s">
        <v>890</v>
      </c>
      <c r="B3" s="11" t="s">
        <v>891</v>
      </c>
      <c r="C3" s="11">
        <v>4</v>
      </c>
      <c r="D3" s="11" t="s">
        <v>892</v>
      </c>
      <c r="E3" s="11" t="s">
        <v>893</v>
      </c>
      <c r="F3" s="22" t="s">
        <v>879</v>
      </c>
      <c r="G3" s="22" t="s">
        <v>894</v>
      </c>
      <c r="H3" s="22" t="s">
        <v>895</v>
      </c>
      <c r="I3" s="22" t="s">
        <v>896</v>
      </c>
      <c r="J3" s="22" t="s">
        <v>897</v>
      </c>
      <c r="K3" s="22" t="s">
        <v>898</v>
      </c>
      <c r="L3" s="22" t="s">
        <v>899</v>
      </c>
      <c r="M3" s="22" t="s">
        <v>900</v>
      </c>
      <c r="N3" s="22" t="s">
        <v>901</v>
      </c>
      <c r="O3" s="22" t="s">
        <v>902</v>
      </c>
      <c r="P3" s="22" t="s">
        <v>903</v>
      </c>
      <c r="Q3" s="22" t="s">
        <v>904</v>
      </c>
      <c r="R3" s="22" t="s">
        <v>905</v>
      </c>
      <c r="S3" s="22" t="s">
        <v>906</v>
      </c>
      <c r="T3" s="22" t="s">
        <v>907</v>
      </c>
      <c r="U3" s="22" t="s">
        <v>899</v>
      </c>
      <c r="V3" s="22" t="s">
        <v>908</v>
      </c>
      <c r="W3" s="22" t="s">
        <v>909</v>
      </c>
    </row>
    <row r="4" spans="1:23" ht="42" customHeight="1" x14ac:dyDescent="0.25">
      <c r="A4" s="6" t="s">
        <v>910</v>
      </c>
      <c r="B4" s="11" t="s">
        <v>911</v>
      </c>
      <c r="C4" s="11">
        <v>4</v>
      </c>
      <c r="D4" s="11" t="s">
        <v>912</v>
      </c>
      <c r="E4" s="11" t="s">
        <v>913</v>
      </c>
      <c r="F4" s="22" t="s">
        <v>914</v>
      </c>
      <c r="G4" s="22" t="s">
        <v>915</v>
      </c>
      <c r="H4" s="22" t="s">
        <v>894</v>
      </c>
      <c r="I4" s="22" t="s">
        <v>895</v>
      </c>
      <c r="J4" s="22" t="s">
        <v>896</v>
      </c>
      <c r="K4" s="22" t="s">
        <v>903</v>
      </c>
      <c r="L4" s="22" t="s">
        <v>901</v>
      </c>
      <c r="M4" s="22" t="s">
        <v>908</v>
      </c>
      <c r="N4" s="22" t="s">
        <v>898</v>
      </c>
      <c r="O4" s="22" t="s">
        <v>897</v>
      </c>
      <c r="P4" s="22" t="s">
        <v>900</v>
      </c>
      <c r="Q4" s="22" t="s">
        <v>899</v>
      </c>
      <c r="R4" s="22" t="s">
        <v>916</v>
      </c>
      <c r="S4" s="22" t="s">
        <v>905</v>
      </c>
      <c r="T4" s="22" t="s">
        <v>906</v>
      </c>
      <c r="U4" s="22" t="s">
        <v>917</v>
      </c>
      <c r="V4" s="22" t="s">
        <v>897</v>
      </c>
      <c r="W4" s="22" t="s">
        <v>900</v>
      </c>
    </row>
    <row r="5" spans="1:23" ht="42" customHeight="1" x14ac:dyDescent="0.25">
      <c r="A5" s="6" t="s">
        <v>918</v>
      </c>
      <c r="B5" s="11" t="s">
        <v>919</v>
      </c>
      <c r="C5" s="11">
        <v>4</v>
      </c>
      <c r="D5" s="11" t="s">
        <v>920</v>
      </c>
      <c r="E5" s="11" t="s">
        <v>921</v>
      </c>
      <c r="F5" s="22" t="s">
        <v>922</v>
      </c>
      <c r="G5" s="22" t="s">
        <v>923</v>
      </c>
      <c r="H5" s="22" t="s">
        <v>924</v>
      </c>
      <c r="I5" s="22" t="s">
        <v>925</v>
      </c>
      <c r="J5" s="22" t="s">
        <v>926</v>
      </c>
      <c r="K5" s="22" t="s">
        <v>927</v>
      </c>
      <c r="L5" s="22" t="s">
        <v>928</v>
      </c>
      <c r="M5" s="22" t="s">
        <v>929</v>
      </c>
      <c r="N5" s="22" t="s">
        <v>930</v>
      </c>
      <c r="O5" s="22" t="s">
        <v>931</v>
      </c>
      <c r="P5" s="22" t="s">
        <v>932</v>
      </c>
      <c r="Q5" s="22" t="s">
        <v>933</v>
      </c>
      <c r="R5" s="22" t="s">
        <v>934</v>
      </c>
      <c r="S5" s="22" t="s">
        <v>935</v>
      </c>
      <c r="T5" s="22" t="s">
        <v>936</v>
      </c>
      <c r="U5" s="22" t="s">
        <v>937</v>
      </c>
      <c r="V5" s="22" t="s">
        <v>938</v>
      </c>
      <c r="W5" s="22" t="s">
        <v>939</v>
      </c>
    </row>
    <row r="6" spans="1:23" ht="42" customHeight="1" x14ac:dyDescent="0.25">
      <c r="A6" s="6" t="s">
        <v>940</v>
      </c>
      <c r="B6" s="11" t="s">
        <v>941</v>
      </c>
      <c r="C6" s="11">
        <v>4</v>
      </c>
      <c r="D6" s="11" t="s">
        <v>942</v>
      </c>
      <c r="E6" s="11" t="s">
        <v>943</v>
      </c>
      <c r="F6" s="22" t="s">
        <v>944</v>
      </c>
      <c r="G6" s="22" t="s">
        <v>945</v>
      </c>
      <c r="H6" s="22" t="s">
        <v>946</v>
      </c>
      <c r="I6" s="22" t="s">
        <v>947</v>
      </c>
      <c r="J6" s="22" t="s">
        <v>948</v>
      </c>
      <c r="K6" s="22" t="s">
        <v>949</v>
      </c>
      <c r="L6" s="22" t="s">
        <v>950</v>
      </c>
      <c r="M6" s="22" t="s">
        <v>951</v>
      </c>
      <c r="N6" s="22" t="s">
        <v>952</v>
      </c>
      <c r="O6" s="22" t="s">
        <v>953</v>
      </c>
      <c r="P6" s="22" t="s">
        <v>930</v>
      </c>
      <c r="Q6" s="22"/>
      <c r="R6" s="22" t="s">
        <v>954</v>
      </c>
      <c r="S6" s="22" t="s">
        <v>955</v>
      </c>
      <c r="T6" s="22" t="s">
        <v>956</v>
      </c>
      <c r="U6" s="22" t="s">
        <v>957</v>
      </c>
      <c r="V6" s="22" t="s">
        <v>958</v>
      </c>
      <c r="W6" s="22" t="s">
        <v>959</v>
      </c>
    </row>
    <row r="7" spans="1:23" ht="42" customHeight="1" x14ac:dyDescent="0.25">
      <c r="A7" s="6" t="s">
        <v>960</v>
      </c>
      <c r="B7" s="11" t="s">
        <v>961</v>
      </c>
      <c r="C7" s="11">
        <v>4</v>
      </c>
      <c r="D7" s="11" t="s">
        <v>962</v>
      </c>
      <c r="E7" s="11" t="s">
        <v>963</v>
      </c>
      <c r="F7" s="22" t="s">
        <v>964</v>
      </c>
      <c r="G7" s="22" t="s">
        <v>965</v>
      </c>
      <c r="H7" s="22" t="s">
        <v>966</v>
      </c>
      <c r="I7" s="22" t="s">
        <v>967</v>
      </c>
      <c r="J7" s="22" t="s">
        <v>968</v>
      </c>
      <c r="K7" s="22" t="s">
        <v>969</v>
      </c>
      <c r="L7" s="22" t="s">
        <v>970</v>
      </c>
      <c r="M7" s="22" t="s">
        <v>971</v>
      </c>
      <c r="N7" s="22" t="s">
        <v>972</v>
      </c>
      <c r="O7" s="22" t="s">
        <v>973</v>
      </c>
      <c r="P7" s="22" t="s">
        <v>974</v>
      </c>
      <c r="Q7" s="22" t="s">
        <v>975</v>
      </c>
      <c r="R7" s="22" t="s">
        <v>976</v>
      </c>
      <c r="S7" s="22" t="s">
        <v>977</v>
      </c>
      <c r="T7" s="22" t="s">
        <v>978</v>
      </c>
      <c r="U7" s="22" t="s">
        <v>975</v>
      </c>
      <c r="V7" s="22" t="s">
        <v>979</v>
      </c>
      <c r="W7" s="22" t="s">
        <v>980</v>
      </c>
    </row>
    <row r="8" spans="1:23" ht="42" customHeight="1" x14ac:dyDescent="0.25">
      <c r="A8" s="6" t="s">
        <v>981</v>
      </c>
      <c r="B8" s="11" t="s">
        <v>982</v>
      </c>
      <c r="C8" s="11">
        <v>4</v>
      </c>
      <c r="D8" s="11" t="s">
        <v>983</v>
      </c>
      <c r="E8" s="11" t="s">
        <v>984</v>
      </c>
      <c r="F8" s="22" t="s">
        <v>985</v>
      </c>
      <c r="G8" s="22" t="s">
        <v>986</v>
      </c>
      <c r="H8" s="22" t="s">
        <v>987</v>
      </c>
      <c r="I8" s="22" t="s">
        <v>988</v>
      </c>
      <c r="J8" s="22" t="s">
        <v>989</v>
      </c>
      <c r="K8" s="22" t="s">
        <v>990</v>
      </c>
      <c r="L8" s="22" t="s">
        <v>991</v>
      </c>
      <c r="M8" s="22" t="s">
        <v>992</v>
      </c>
      <c r="N8" s="22" t="s">
        <v>993</v>
      </c>
      <c r="O8" s="22" t="s">
        <v>994</v>
      </c>
      <c r="P8" s="22" t="s">
        <v>995</v>
      </c>
      <c r="Q8" s="22" t="s">
        <v>996</v>
      </c>
      <c r="R8" s="22" t="s">
        <v>997</v>
      </c>
      <c r="S8" s="22" t="s">
        <v>998</v>
      </c>
      <c r="T8" s="22" t="s">
        <v>999</v>
      </c>
      <c r="U8" s="22" t="s">
        <v>1000</v>
      </c>
      <c r="V8" s="22" t="s">
        <v>1001</v>
      </c>
      <c r="W8" s="22" t="s">
        <v>1002</v>
      </c>
    </row>
    <row r="9" spans="1:23" ht="42" customHeight="1" x14ac:dyDescent="0.25">
      <c r="A9" s="6" t="s">
        <v>1003</v>
      </c>
      <c r="B9" s="11" t="s">
        <v>1004</v>
      </c>
      <c r="C9" s="11">
        <v>4</v>
      </c>
      <c r="D9" s="11" t="s">
        <v>1005</v>
      </c>
      <c r="E9" s="11" t="s">
        <v>1006</v>
      </c>
      <c r="F9" s="22" t="s">
        <v>927</v>
      </c>
      <c r="G9" s="22" t="s">
        <v>1007</v>
      </c>
      <c r="H9" s="22" t="s">
        <v>1008</v>
      </c>
      <c r="I9" s="22" t="s">
        <v>1009</v>
      </c>
      <c r="J9" s="22" t="s">
        <v>1010</v>
      </c>
      <c r="K9" s="22" t="s">
        <v>987</v>
      </c>
      <c r="L9" s="22" t="s">
        <v>1011</v>
      </c>
      <c r="M9" s="22" t="s">
        <v>991</v>
      </c>
      <c r="N9" s="22" t="s">
        <v>1012</v>
      </c>
      <c r="O9" s="22" t="s">
        <v>1013</v>
      </c>
      <c r="P9" s="22" t="s">
        <v>1014</v>
      </c>
      <c r="Q9" s="22" t="s">
        <v>1015</v>
      </c>
      <c r="R9" s="22" t="s">
        <v>1016</v>
      </c>
      <c r="S9" s="22" t="s">
        <v>1017</v>
      </c>
      <c r="T9" s="22" t="s">
        <v>1018</v>
      </c>
      <c r="U9" s="22" t="s">
        <v>1019</v>
      </c>
      <c r="V9" s="22" t="s">
        <v>1020</v>
      </c>
      <c r="W9" s="22" t="s">
        <v>1021</v>
      </c>
    </row>
    <row r="10" spans="1:23" ht="42" customHeight="1" x14ac:dyDescent="0.25">
      <c r="A10" s="6" t="s">
        <v>1022</v>
      </c>
      <c r="B10" s="11" t="s">
        <v>1023</v>
      </c>
      <c r="C10" s="11">
        <v>4</v>
      </c>
      <c r="D10" s="11" t="s">
        <v>1024</v>
      </c>
      <c r="E10" s="11" t="s">
        <v>1025</v>
      </c>
      <c r="F10" s="22" t="s">
        <v>1026</v>
      </c>
      <c r="G10" s="22" t="s">
        <v>1027</v>
      </c>
      <c r="H10" s="22" t="s">
        <v>1028</v>
      </c>
      <c r="I10" s="22" t="s">
        <v>1029</v>
      </c>
      <c r="J10" s="22" t="s">
        <v>1030</v>
      </c>
      <c r="K10" s="22" t="s">
        <v>1031</v>
      </c>
      <c r="L10" s="22" t="s">
        <v>1032</v>
      </c>
      <c r="M10" s="22" t="s">
        <v>1033</v>
      </c>
      <c r="N10" s="22" t="s">
        <v>1034</v>
      </c>
      <c r="O10" s="22" t="s">
        <v>1035</v>
      </c>
      <c r="P10" s="22" t="s">
        <v>1036</v>
      </c>
      <c r="Q10" s="22"/>
      <c r="R10" s="22" t="s">
        <v>1037</v>
      </c>
      <c r="S10" s="22" t="s">
        <v>1038</v>
      </c>
      <c r="T10" s="22" t="s">
        <v>1039</v>
      </c>
      <c r="U10" s="22" t="s">
        <v>1040</v>
      </c>
      <c r="V10" s="22" t="s">
        <v>1041</v>
      </c>
      <c r="W10" s="22" t="s">
        <v>1042</v>
      </c>
    </row>
    <row r="11" spans="1:23" ht="42" customHeight="1" x14ac:dyDescent="0.25">
      <c r="A11" s="6" t="s">
        <v>1043</v>
      </c>
      <c r="B11" s="11" t="s">
        <v>1044</v>
      </c>
      <c r="C11" s="11">
        <v>4</v>
      </c>
      <c r="D11" s="11" t="s">
        <v>1045</v>
      </c>
      <c r="E11" s="11" t="s">
        <v>1046</v>
      </c>
      <c r="F11" s="22" t="s">
        <v>1047</v>
      </c>
      <c r="G11" s="22" t="s">
        <v>1048</v>
      </c>
      <c r="H11" s="22" t="s">
        <v>1049</v>
      </c>
      <c r="I11" s="22" t="s">
        <v>1050</v>
      </c>
      <c r="J11" s="22" t="s">
        <v>1051</v>
      </c>
      <c r="K11" s="22" t="s">
        <v>947</v>
      </c>
      <c r="L11" s="22" t="s">
        <v>1052</v>
      </c>
      <c r="M11" s="22" t="s">
        <v>1053</v>
      </c>
      <c r="N11" s="22" t="s">
        <v>1054</v>
      </c>
      <c r="O11" s="22" t="s">
        <v>1055</v>
      </c>
      <c r="P11" s="22" t="s">
        <v>1056</v>
      </c>
      <c r="Q11" s="22" t="s">
        <v>1057</v>
      </c>
      <c r="R11" s="22" t="s">
        <v>1058</v>
      </c>
      <c r="S11" s="22" t="s">
        <v>1059</v>
      </c>
      <c r="T11" s="22" t="s">
        <v>1060</v>
      </c>
      <c r="U11" s="22" t="s">
        <v>1061</v>
      </c>
      <c r="V11" s="22" t="s">
        <v>1062</v>
      </c>
      <c r="W11" s="22" t="s">
        <v>1063</v>
      </c>
    </row>
    <row r="12" spans="1:23" ht="42" customHeight="1" x14ac:dyDescent="0.25">
      <c r="A12" s="6" t="s">
        <v>1064</v>
      </c>
      <c r="B12" s="11" t="s">
        <v>1065</v>
      </c>
      <c r="C12" s="11">
        <v>4</v>
      </c>
      <c r="D12" s="11" t="s">
        <v>1066</v>
      </c>
      <c r="E12" s="11" t="s">
        <v>1067</v>
      </c>
      <c r="F12" s="22" t="s">
        <v>1068</v>
      </c>
      <c r="G12" s="22" t="s">
        <v>1069</v>
      </c>
      <c r="H12" s="22" t="s">
        <v>1070</v>
      </c>
      <c r="I12" s="22" t="s">
        <v>1071</v>
      </c>
      <c r="J12" s="22" t="s">
        <v>1072</v>
      </c>
      <c r="K12" s="22" t="s">
        <v>1073</v>
      </c>
      <c r="L12" s="22" t="s">
        <v>1074</v>
      </c>
      <c r="M12" s="22" t="s">
        <v>1075</v>
      </c>
      <c r="N12" s="22" t="s">
        <v>1076</v>
      </c>
      <c r="O12" s="22" t="s">
        <v>1077</v>
      </c>
      <c r="P12" s="22" t="s">
        <v>1078</v>
      </c>
      <c r="Q12" s="22" t="s">
        <v>1079</v>
      </c>
      <c r="R12" s="22" t="s">
        <v>1080</v>
      </c>
      <c r="S12" s="22" t="s">
        <v>1081</v>
      </c>
      <c r="T12" s="22" t="s">
        <v>1082</v>
      </c>
      <c r="U12" s="22" t="s">
        <v>1083</v>
      </c>
      <c r="V12" s="22" t="s">
        <v>1084</v>
      </c>
      <c r="W12" s="22" t="s">
        <v>1085</v>
      </c>
    </row>
    <row r="13" spans="1:23" ht="42" customHeight="1" x14ac:dyDescent="0.25">
      <c r="A13" s="6" t="s">
        <v>1086</v>
      </c>
      <c r="B13" s="11" t="s">
        <v>59</v>
      </c>
      <c r="C13" s="11">
        <v>4</v>
      </c>
      <c r="D13" s="11" t="s">
        <v>1087</v>
      </c>
      <c r="E13" s="11" t="s">
        <v>1088</v>
      </c>
      <c r="F13" s="22" t="s">
        <v>898</v>
      </c>
      <c r="G13" s="22" t="s">
        <v>897</v>
      </c>
      <c r="H13" s="22" t="s">
        <v>1089</v>
      </c>
      <c r="I13" s="22" t="s">
        <v>1090</v>
      </c>
      <c r="J13" s="22" t="s">
        <v>1091</v>
      </c>
      <c r="K13" s="22" t="s">
        <v>1092</v>
      </c>
      <c r="L13" s="22" t="s">
        <v>1093</v>
      </c>
      <c r="M13" s="22" t="s">
        <v>900</v>
      </c>
      <c r="N13" s="22" t="s">
        <v>1094</v>
      </c>
      <c r="O13" s="22" t="s">
        <v>1095</v>
      </c>
      <c r="P13" s="22"/>
      <c r="Q13" s="22"/>
      <c r="R13" s="22" t="s">
        <v>1096</v>
      </c>
      <c r="S13" s="22" t="s">
        <v>1094</v>
      </c>
      <c r="T13" s="22" t="s">
        <v>1097</v>
      </c>
      <c r="U13" s="22" t="s">
        <v>1098</v>
      </c>
      <c r="V13" s="22" t="s">
        <v>1099</v>
      </c>
      <c r="W13" s="22" t="s">
        <v>898</v>
      </c>
    </row>
    <row r="14" spans="1:23" ht="42" customHeight="1" x14ac:dyDescent="0.25">
      <c r="A14" s="6" t="s">
        <v>1100</v>
      </c>
      <c r="B14" s="11" t="s">
        <v>1101</v>
      </c>
      <c r="C14" s="11">
        <v>4</v>
      </c>
      <c r="D14" s="11" t="s">
        <v>1102</v>
      </c>
      <c r="E14" s="11" t="s">
        <v>1103</v>
      </c>
      <c r="F14" s="22" t="s">
        <v>1104</v>
      </c>
      <c r="G14" s="22" t="s">
        <v>899</v>
      </c>
      <c r="H14" s="22" t="s">
        <v>935</v>
      </c>
      <c r="I14" s="22" t="s">
        <v>1105</v>
      </c>
      <c r="J14" s="22" t="s">
        <v>1106</v>
      </c>
      <c r="K14" s="22" t="s">
        <v>1095</v>
      </c>
      <c r="L14" s="22" t="s">
        <v>1107</v>
      </c>
      <c r="M14" s="22" t="s">
        <v>1108</v>
      </c>
      <c r="N14" s="22" t="s">
        <v>1109</v>
      </c>
      <c r="O14" s="22" t="s">
        <v>1094</v>
      </c>
      <c r="P14" s="22"/>
      <c r="Q14" s="22"/>
      <c r="R14" s="22" t="s">
        <v>1110</v>
      </c>
      <c r="S14" s="22" t="s">
        <v>1111</v>
      </c>
      <c r="T14" s="22" t="s">
        <v>1106</v>
      </c>
      <c r="U14" s="22" t="s">
        <v>935</v>
      </c>
      <c r="V14" s="22" t="s">
        <v>899</v>
      </c>
      <c r="W14" s="22" t="s">
        <v>1095</v>
      </c>
    </row>
    <row r="15" spans="1:23" ht="42" customHeight="1" x14ac:dyDescent="0.25">
      <c r="A15" s="6" t="s">
        <v>1112</v>
      </c>
      <c r="B15" s="11" t="s">
        <v>53</v>
      </c>
      <c r="C15" s="11">
        <v>4</v>
      </c>
      <c r="D15" s="11" t="s">
        <v>1113</v>
      </c>
      <c r="E15" s="11" t="s">
        <v>1114</v>
      </c>
      <c r="F15" s="22" t="s">
        <v>902</v>
      </c>
      <c r="G15" s="22" t="s">
        <v>1115</v>
      </c>
      <c r="H15" s="22" t="s">
        <v>1094</v>
      </c>
      <c r="I15" s="22" t="s">
        <v>1108</v>
      </c>
      <c r="J15" s="22" t="s">
        <v>1107</v>
      </c>
      <c r="K15" s="22" t="s">
        <v>1116</v>
      </c>
      <c r="L15" s="22" t="s">
        <v>1095</v>
      </c>
      <c r="M15" s="22"/>
      <c r="N15" s="22"/>
      <c r="O15" s="22"/>
      <c r="P15" s="22"/>
      <c r="Q15" s="22"/>
      <c r="R15" s="22" t="s">
        <v>1117</v>
      </c>
      <c r="S15" s="22" t="s">
        <v>1118</v>
      </c>
      <c r="T15" s="22" t="s">
        <v>1098</v>
      </c>
      <c r="U15" s="22" t="s">
        <v>1119</v>
      </c>
      <c r="V15" s="22" t="s">
        <v>1095</v>
      </c>
      <c r="W15" s="22" t="s">
        <v>1120</v>
      </c>
    </row>
    <row r="16" spans="1:23" ht="42" customHeight="1" x14ac:dyDescent="0.25">
      <c r="A16" s="6" t="s">
        <v>1121</v>
      </c>
      <c r="B16" s="11" t="s">
        <v>1122</v>
      </c>
      <c r="C16" s="11">
        <v>4</v>
      </c>
      <c r="D16" s="11" t="s">
        <v>1123</v>
      </c>
      <c r="E16" s="11" t="s">
        <v>1124</v>
      </c>
      <c r="F16" s="22" t="s">
        <v>1125</v>
      </c>
      <c r="G16" s="22" t="s">
        <v>1126</v>
      </c>
      <c r="H16" s="22" t="s">
        <v>1127</v>
      </c>
      <c r="I16" s="22" t="s">
        <v>953</v>
      </c>
      <c r="J16" s="22" t="s">
        <v>1128</v>
      </c>
      <c r="K16" s="22" t="s">
        <v>1129</v>
      </c>
      <c r="L16" s="22" t="s">
        <v>1130</v>
      </c>
      <c r="M16" s="22" t="s">
        <v>1131</v>
      </c>
      <c r="N16" s="22" t="s">
        <v>1030</v>
      </c>
      <c r="O16" s="22" t="s">
        <v>1132</v>
      </c>
      <c r="P16" s="22" t="s">
        <v>1133</v>
      </c>
      <c r="Q16" s="22" t="s">
        <v>1134</v>
      </c>
      <c r="R16" s="22" t="s">
        <v>1135</v>
      </c>
      <c r="S16" s="22" t="s">
        <v>1136</v>
      </c>
      <c r="T16" s="22" t="s">
        <v>1137</v>
      </c>
      <c r="U16" s="22" t="s">
        <v>1138</v>
      </c>
      <c r="V16" s="22" t="s">
        <v>1130</v>
      </c>
      <c r="W16" s="22" t="s">
        <v>1139</v>
      </c>
    </row>
    <row r="17" spans="1:23" ht="42" customHeight="1" x14ac:dyDescent="0.25">
      <c r="A17" s="6" t="s">
        <v>1140</v>
      </c>
      <c r="B17" s="11" t="s">
        <v>1141</v>
      </c>
      <c r="C17" s="11">
        <v>4</v>
      </c>
      <c r="D17" s="11" t="s">
        <v>1142</v>
      </c>
      <c r="E17" s="11" t="s">
        <v>1143</v>
      </c>
      <c r="F17" s="22" t="s">
        <v>1144</v>
      </c>
      <c r="G17" s="22" t="s">
        <v>914</v>
      </c>
      <c r="H17" s="22" t="s">
        <v>1145</v>
      </c>
      <c r="I17" s="22" t="s">
        <v>1146</v>
      </c>
      <c r="J17" s="22" t="s">
        <v>928</v>
      </c>
      <c r="K17" s="22" t="s">
        <v>1147</v>
      </c>
      <c r="L17" s="22" t="s">
        <v>1148</v>
      </c>
      <c r="M17" s="22" t="s">
        <v>1149</v>
      </c>
      <c r="N17" s="22" t="s">
        <v>1150</v>
      </c>
      <c r="O17" s="22" t="s">
        <v>1151</v>
      </c>
      <c r="P17" s="22" t="s">
        <v>1152</v>
      </c>
      <c r="Q17" s="22"/>
      <c r="R17" s="22" t="s">
        <v>1153</v>
      </c>
      <c r="S17" s="22" t="s">
        <v>1150</v>
      </c>
      <c r="T17" s="22" t="s">
        <v>1154</v>
      </c>
      <c r="U17" s="22" t="s">
        <v>1155</v>
      </c>
      <c r="V17" s="22" t="s">
        <v>1145</v>
      </c>
      <c r="W17" s="22" t="s">
        <v>1146</v>
      </c>
    </row>
    <row r="18" spans="1:23" ht="42" customHeight="1" x14ac:dyDescent="0.25">
      <c r="A18" s="6" t="s">
        <v>1156</v>
      </c>
      <c r="B18" s="11" t="s">
        <v>1157</v>
      </c>
      <c r="C18" s="11">
        <v>4</v>
      </c>
      <c r="D18" s="11" t="s">
        <v>1158</v>
      </c>
      <c r="E18" s="11" t="s">
        <v>1159</v>
      </c>
      <c r="F18" s="22" t="s">
        <v>1160</v>
      </c>
      <c r="G18" s="22" t="s">
        <v>1161</v>
      </c>
      <c r="H18" s="22" t="s">
        <v>1162</v>
      </c>
      <c r="I18" s="22" t="s">
        <v>1163</v>
      </c>
      <c r="J18" s="22" t="s">
        <v>1164</v>
      </c>
      <c r="K18" s="22" t="s">
        <v>1165</v>
      </c>
      <c r="L18" s="22" t="s">
        <v>1166</v>
      </c>
      <c r="M18" s="22" t="s">
        <v>996</v>
      </c>
      <c r="N18" s="22" t="s">
        <v>1167</v>
      </c>
      <c r="O18" s="22" t="s">
        <v>1168</v>
      </c>
      <c r="P18" s="22"/>
      <c r="Q18" s="22"/>
      <c r="R18" s="22" t="s">
        <v>1169</v>
      </c>
      <c r="S18" s="22" t="s">
        <v>1170</v>
      </c>
      <c r="T18" s="22" t="s">
        <v>1171</v>
      </c>
      <c r="U18" s="22" t="s">
        <v>1172</v>
      </c>
      <c r="V18" s="22" t="s">
        <v>1173</v>
      </c>
      <c r="W18" s="22" t="s">
        <v>1174</v>
      </c>
    </row>
    <row r="19" spans="1:23" ht="42" customHeight="1" x14ac:dyDescent="0.25">
      <c r="A19" s="6" t="s">
        <v>1175</v>
      </c>
      <c r="B19" s="11" t="s">
        <v>1176</v>
      </c>
      <c r="C19" s="11">
        <v>4</v>
      </c>
      <c r="D19" s="11" t="s">
        <v>1177</v>
      </c>
      <c r="E19" s="11" t="s">
        <v>1178</v>
      </c>
      <c r="F19" s="22" t="s">
        <v>1179</v>
      </c>
      <c r="G19" s="22" t="s">
        <v>1180</v>
      </c>
      <c r="H19" s="22" t="s">
        <v>1181</v>
      </c>
      <c r="I19" s="22" t="s">
        <v>1182</v>
      </c>
      <c r="J19" s="22" t="s">
        <v>992</v>
      </c>
      <c r="K19" s="22" t="s">
        <v>1183</v>
      </c>
      <c r="L19" s="22" t="s">
        <v>986</v>
      </c>
      <c r="M19" s="22" t="s">
        <v>1184</v>
      </c>
      <c r="N19" s="22" t="s">
        <v>988</v>
      </c>
      <c r="O19" s="22" t="s">
        <v>994</v>
      </c>
      <c r="P19" s="22" t="s">
        <v>1185</v>
      </c>
      <c r="Q19" s="22"/>
      <c r="R19" s="22" t="s">
        <v>1186</v>
      </c>
      <c r="S19" s="22" t="s">
        <v>1187</v>
      </c>
      <c r="T19" s="22" t="s">
        <v>1188</v>
      </c>
      <c r="U19" s="22" t="s">
        <v>1189</v>
      </c>
      <c r="V19" s="22" t="s">
        <v>1190</v>
      </c>
      <c r="W19" s="22" t="s">
        <v>1191</v>
      </c>
    </row>
    <row r="20" spans="1:23" ht="42" customHeight="1" x14ac:dyDescent="0.25">
      <c r="A20" s="6" t="s">
        <v>1192</v>
      </c>
      <c r="B20" s="11" t="s">
        <v>1193</v>
      </c>
      <c r="C20" s="11">
        <v>4</v>
      </c>
      <c r="D20" s="11" t="s">
        <v>1194</v>
      </c>
      <c r="E20" s="11" t="s">
        <v>1195</v>
      </c>
      <c r="F20" s="22" t="s">
        <v>952</v>
      </c>
      <c r="G20" s="22" t="s">
        <v>1196</v>
      </c>
      <c r="H20" s="22" t="s">
        <v>1197</v>
      </c>
      <c r="I20" s="22" t="s">
        <v>1198</v>
      </c>
      <c r="J20" s="22" t="s">
        <v>1131</v>
      </c>
      <c r="K20" s="22" t="s">
        <v>1199</v>
      </c>
      <c r="L20" s="22" t="s">
        <v>1200</v>
      </c>
      <c r="M20" s="22" t="s">
        <v>1201</v>
      </c>
      <c r="N20" s="22" t="s">
        <v>1130</v>
      </c>
      <c r="O20" s="22" t="s">
        <v>1202</v>
      </c>
      <c r="P20" s="22" t="s">
        <v>1203</v>
      </c>
      <c r="Q20" s="22"/>
      <c r="R20" s="22" t="s">
        <v>1204</v>
      </c>
      <c r="S20" s="22" t="s">
        <v>1205</v>
      </c>
      <c r="T20" s="22" t="s">
        <v>1206</v>
      </c>
      <c r="U20" s="22" t="s">
        <v>1207</v>
      </c>
      <c r="V20" s="22" t="s">
        <v>1208</v>
      </c>
      <c r="W20" s="22" t="s">
        <v>1209</v>
      </c>
    </row>
    <row r="21" spans="1:23" ht="42" customHeight="1" x14ac:dyDescent="0.25">
      <c r="A21" s="6" t="s">
        <v>1210</v>
      </c>
      <c r="B21" s="11" t="s">
        <v>1211</v>
      </c>
      <c r="C21" s="11">
        <v>4</v>
      </c>
      <c r="D21" s="11" t="s">
        <v>1212</v>
      </c>
      <c r="E21" s="11" t="s">
        <v>1213</v>
      </c>
      <c r="F21" s="22" t="s">
        <v>1214</v>
      </c>
      <c r="G21" s="22" t="s">
        <v>1215</v>
      </c>
      <c r="H21" s="22" t="s">
        <v>1216</v>
      </c>
      <c r="I21" s="22" t="s">
        <v>1166</v>
      </c>
      <c r="J21" s="22" t="s">
        <v>1217</v>
      </c>
      <c r="K21" s="22" t="s">
        <v>1218</v>
      </c>
      <c r="L21" s="22" t="s">
        <v>884</v>
      </c>
      <c r="M21" s="22" t="s">
        <v>1164</v>
      </c>
      <c r="N21" s="22" t="s">
        <v>1219</v>
      </c>
      <c r="O21" s="22" t="s">
        <v>1220</v>
      </c>
      <c r="P21" s="22"/>
      <c r="Q21" s="22"/>
      <c r="R21" s="22" t="s">
        <v>1221</v>
      </c>
      <c r="S21" s="22" t="s">
        <v>1222</v>
      </c>
      <c r="T21" s="22" t="s">
        <v>1223</v>
      </c>
      <c r="U21" s="22" t="s">
        <v>1224</v>
      </c>
      <c r="V21" s="22" t="s">
        <v>1225</v>
      </c>
      <c r="W21" s="22" t="s">
        <v>1226</v>
      </c>
    </row>
    <row r="22" spans="1:23" ht="42" customHeight="1" x14ac:dyDescent="0.25">
      <c r="A22" s="6" t="s">
        <v>1227</v>
      </c>
      <c r="B22" s="11" t="s">
        <v>1228</v>
      </c>
      <c r="C22" s="11">
        <v>4</v>
      </c>
      <c r="D22" s="11" t="s">
        <v>1229</v>
      </c>
      <c r="E22" s="11" t="s">
        <v>1230</v>
      </c>
      <c r="F22" s="22" t="s">
        <v>1129</v>
      </c>
      <c r="G22" s="22" t="s">
        <v>1231</v>
      </c>
      <c r="H22" s="22" t="s">
        <v>1232</v>
      </c>
      <c r="I22" s="22" t="s">
        <v>1233</v>
      </c>
      <c r="J22" s="22" t="s">
        <v>1234</v>
      </c>
      <c r="K22" s="22" t="s">
        <v>1235</v>
      </c>
      <c r="L22" s="22" t="s">
        <v>1236</v>
      </c>
      <c r="M22" s="22" t="s">
        <v>1237</v>
      </c>
      <c r="N22" s="22" t="s">
        <v>990</v>
      </c>
      <c r="O22" s="22" t="s">
        <v>1238</v>
      </c>
      <c r="P22" s="22" t="s">
        <v>1239</v>
      </c>
      <c r="Q22" s="22"/>
      <c r="R22" s="22" t="s">
        <v>1240</v>
      </c>
      <c r="S22" s="22" t="s">
        <v>1238</v>
      </c>
      <c r="T22" s="22" t="s">
        <v>1241</v>
      </c>
      <c r="U22" s="22" t="s">
        <v>1242</v>
      </c>
      <c r="V22" s="22" t="s">
        <v>1243</v>
      </c>
      <c r="W22" s="22" t="s">
        <v>1244</v>
      </c>
    </row>
    <row r="23" spans="1:23" ht="42" customHeight="1" x14ac:dyDescent="0.25">
      <c r="A23" s="6" t="s">
        <v>1245</v>
      </c>
      <c r="B23" s="11" t="s">
        <v>1246</v>
      </c>
      <c r="C23" s="11">
        <v>4</v>
      </c>
      <c r="D23" s="11" t="s">
        <v>1247</v>
      </c>
      <c r="E23" s="11" t="s">
        <v>1248</v>
      </c>
      <c r="F23" s="22" t="s">
        <v>1249</v>
      </c>
      <c r="G23" s="22" t="s">
        <v>1250</v>
      </c>
      <c r="H23" s="22" t="s">
        <v>1251</v>
      </c>
      <c r="I23" s="22" t="s">
        <v>1225</v>
      </c>
      <c r="J23" s="22" t="s">
        <v>1252</v>
      </c>
      <c r="K23" s="22" t="s">
        <v>1253</v>
      </c>
      <c r="L23" s="22" t="s">
        <v>1254</v>
      </c>
      <c r="M23" s="22" t="s">
        <v>1051</v>
      </c>
      <c r="N23" s="22" t="s">
        <v>1050</v>
      </c>
      <c r="O23" s="22" t="s">
        <v>1255</v>
      </c>
      <c r="P23" s="22" t="s">
        <v>1256</v>
      </c>
      <c r="Q23" s="22"/>
      <c r="R23" s="22" t="s">
        <v>1257</v>
      </c>
      <c r="S23" s="22" t="s">
        <v>1258</v>
      </c>
      <c r="T23" s="22" t="s">
        <v>1259</v>
      </c>
      <c r="U23" s="22" t="s">
        <v>1260</v>
      </c>
      <c r="V23" s="22" t="s">
        <v>1261</v>
      </c>
      <c r="W23" s="22" t="s">
        <v>1262</v>
      </c>
    </row>
    <row r="24" spans="1:23" ht="42" customHeight="1" x14ac:dyDescent="0.25">
      <c r="A24" s="6" t="s">
        <v>1263</v>
      </c>
      <c r="B24" s="11" t="s">
        <v>1264</v>
      </c>
      <c r="C24" s="11">
        <v>4</v>
      </c>
      <c r="D24" s="11" t="s">
        <v>1265</v>
      </c>
      <c r="E24" s="11" t="s">
        <v>1266</v>
      </c>
      <c r="F24" s="22" t="s">
        <v>1267</v>
      </c>
      <c r="G24" s="22" t="s">
        <v>1268</v>
      </c>
      <c r="H24" s="22" t="s">
        <v>1053</v>
      </c>
      <c r="I24" s="22" t="s">
        <v>1269</v>
      </c>
      <c r="J24" s="22" t="s">
        <v>1270</v>
      </c>
      <c r="K24" s="22" t="s">
        <v>1271</v>
      </c>
      <c r="L24" s="22" t="s">
        <v>947</v>
      </c>
      <c r="M24" s="22" t="s">
        <v>1048</v>
      </c>
      <c r="N24" s="22" t="s">
        <v>1272</v>
      </c>
      <c r="O24" s="22" t="s">
        <v>1273</v>
      </c>
      <c r="P24" s="22"/>
      <c r="Q24" s="22"/>
      <c r="R24" s="22" t="s">
        <v>1274</v>
      </c>
      <c r="S24" s="22" t="s">
        <v>1275</v>
      </c>
      <c r="T24" s="22" t="s">
        <v>1276</v>
      </c>
      <c r="U24" s="22" t="s">
        <v>1277</v>
      </c>
      <c r="V24" s="22" t="s">
        <v>1278</v>
      </c>
      <c r="W24" s="22" t="s">
        <v>1279</v>
      </c>
    </row>
    <row r="25" spans="1:23" ht="42" customHeight="1" x14ac:dyDescent="0.25">
      <c r="A25" s="6" t="s">
        <v>1280</v>
      </c>
      <c r="B25" s="11" t="s">
        <v>1281</v>
      </c>
      <c r="C25" s="11">
        <v>4</v>
      </c>
      <c r="D25" s="11" t="s">
        <v>1282</v>
      </c>
      <c r="E25" s="11" t="s">
        <v>1283</v>
      </c>
      <c r="F25" s="22" t="s">
        <v>1284</v>
      </c>
      <c r="G25" s="22" t="s">
        <v>933</v>
      </c>
      <c r="H25" s="22" t="s">
        <v>1285</v>
      </c>
      <c r="I25" s="22" t="s">
        <v>1286</v>
      </c>
      <c r="J25" s="22" t="s">
        <v>1287</v>
      </c>
      <c r="K25" s="22" t="s">
        <v>1288</v>
      </c>
      <c r="L25" s="22" t="s">
        <v>1289</v>
      </c>
      <c r="M25" s="22" t="s">
        <v>1290</v>
      </c>
      <c r="N25" s="22" t="s">
        <v>1291</v>
      </c>
      <c r="O25" s="22" t="s">
        <v>1292</v>
      </c>
      <c r="P25" s="22"/>
      <c r="Q25" s="22"/>
      <c r="R25" s="22" t="s">
        <v>1293</v>
      </c>
      <c r="S25" s="22" t="s">
        <v>1294</v>
      </c>
      <c r="T25" s="22" t="s">
        <v>1295</v>
      </c>
      <c r="U25" s="22" t="s">
        <v>1296</v>
      </c>
      <c r="V25" s="22" t="s">
        <v>1297</v>
      </c>
      <c r="W25" s="22" t="s">
        <v>1298</v>
      </c>
    </row>
    <row r="26" spans="1:23" ht="42" customHeight="1" x14ac:dyDescent="0.25">
      <c r="A26" s="6" t="s">
        <v>1299</v>
      </c>
      <c r="B26" s="11" t="s">
        <v>1300</v>
      </c>
      <c r="C26" s="11">
        <v>4</v>
      </c>
      <c r="D26" s="11" t="s">
        <v>1301</v>
      </c>
      <c r="E26" s="11" t="s">
        <v>1302</v>
      </c>
      <c r="F26" s="22" t="s">
        <v>948</v>
      </c>
      <c r="G26" s="22" t="s">
        <v>946</v>
      </c>
      <c r="H26" s="22" t="s">
        <v>1303</v>
      </c>
      <c r="I26" s="22" t="s">
        <v>1304</v>
      </c>
      <c r="J26" s="22" t="s">
        <v>1078</v>
      </c>
      <c r="K26" s="22" t="s">
        <v>1305</v>
      </c>
      <c r="L26" s="22" t="s">
        <v>1072</v>
      </c>
      <c r="M26" s="22" t="s">
        <v>1306</v>
      </c>
      <c r="N26" s="22" t="s">
        <v>1108</v>
      </c>
      <c r="O26" s="22" t="s">
        <v>930</v>
      </c>
      <c r="P26" s="22"/>
      <c r="Q26" s="22"/>
      <c r="R26" s="22" t="s">
        <v>1307</v>
      </c>
      <c r="S26" s="22" t="s">
        <v>1308</v>
      </c>
      <c r="T26" s="22" t="s">
        <v>1309</v>
      </c>
      <c r="U26" s="22" t="s">
        <v>1310</v>
      </c>
      <c r="V26" s="22" t="s">
        <v>1311</v>
      </c>
      <c r="W26" s="22" t="s">
        <v>1312</v>
      </c>
    </row>
    <row r="27" spans="1:23" ht="42" customHeight="1" x14ac:dyDescent="0.25">
      <c r="A27" s="6" t="s">
        <v>1313</v>
      </c>
      <c r="B27" s="11" t="s">
        <v>1314</v>
      </c>
      <c r="C27" s="11">
        <v>4</v>
      </c>
      <c r="D27" s="11" t="s">
        <v>1315</v>
      </c>
      <c r="E27" s="11" t="s">
        <v>1316</v>
      </c>
      <c r="F27" s="22" t="s">
        <v>1317</v>
      </c>
      <c r="G27" s="22" t="s">
        <v>1318</v>
      </c>
      <c r="H27" s="22" t="s">
        <v>1319</v>
      </c>
      <c r="I27" s="22" t="s">
        <v>1320</v>
      </c>
      <c r="J27" s="22" t="s">
        <v>1321</v>
      </c>
      <c r="K27" s="22" t="s">
        <v>1322</v>
      </c>
      <c r="L27" s="22" t="s">
        <v>1020</v>
      </c>
      <c r="M27" s="22" t="s">
        <v>1323</v>
      </c>
      <c r="N27" s="22" t="s">
        <v>1324</v>
      </c>
      <c r="O27" s="22"/>
      <c r="P27" s="22"/>
      <c r="Q27" s="22"/>
      <c r="R27" s="22" t="s">
        <v>1325</v>
      </c>
      <c r="S27" s="22" t="s">
        <v>1326</v>
      </c>
      <c r="T27" s="22" t="s">
        <v>1327</v>
      </c>
      <c r="U27" s="22" t="s">
        <v>1328</v>
      </c>
      <c r="V27" s="22" t="s">
        <v>1329</v>
      </c>
      <c r="W27" s="22" t="s">
        <v>1330</v>
      </c>
    </row>
    <row r="28" spans="1:23" ht="42" customHeight="1" x14ac:dyDescent="0.25">
      <c r="A28" s="6" t="s">
        <v>1331</v>
      </c>
      <c r="B28" s="11" t="s">
        <v>1332</v>
      </c>
      <c r="C28" s="11">
        <v>4</v>
      </c>
      <c r="D28" s="11" t="s">
        <v>1333</v>
      </c>
      <c r="E28" s="11" t="s">
        <v>1334</v>
      </c>
      <c r="F28" s="22" t="s">
        <v>1335</v>
      </c>
      <c r="G28" s="22" t="s">
        <v>884</v>
      </c>
      <c r="H28" s="22" t="s">
        <v>1336</v>
      </c>
      <c r="I28" s="22" t="s">
        <v>1337</v>
      </c>
      <c r="J28" s="22" t="s">
        <v>1338</v>
      </c>
      <c r="K28" s="22" t="s">
        <v>1339</v>
      </c>
      <c r="L28" s="22" t="s">
        <v>1340</v>
      </c>
      <c r="M28" s="22" t="s">
        <v>1341</v>
      </c>
      <c r="N28" s="22" t="s">
        <v>1342</v>
      </c>
      <c r="O28" s="22"/>
      <c r="P28" s="22"/>
      <c r="Q28" s="22"/>
      <c r="R28" s="22" t="s">
        <v>1343</v>
      </c>
      <c r="S28" s="22" t="s">
        <v>1344</v>
      </c>
      <c r="T28" s="22" t="s">
        <v>1345</v>
      </c>
      <c r="U28" s="22" t="s">
        <v>1346</v>
      </c>
      <c r="V28" s="22" t="s">
        <v>1347</v>
      </c>
      <c r="W28" s="22" t="s">
        <v>1348</v>
      </c>
    </row>
    <row r="29" spans="1:23" ht="42" customHeight="1" x14ac:dyDescent="0.25">
      <c r="A29" s="6" t="s">
        <v>1349</v>
      </c>
      <c r="B29" s="11" t="s">
        <v>1350</v>
      </c>
      <c r="C29" s="11">
        <v>4</v>
      </c>
      <c r="D29" s="11" t="s">
        <v>1351</v>
      </c>
      <c r="E29" s="11" t="s">
        <v>1352</v>
      </c>
      <c r="F29" s="22" t="s">
        <v>1353</v>
      </c>
      <c r="G29" s="22" t="s">
        <v>1354</v>
      </c>
      <c r="H29" s="22" t="s">
        <v>1355</v>
      </c>
      <c r="I29" s="22" t="s">
        <v>1356</v>
      </c>
      <c r="J29" s="22" t="s">
        <v>1357</v>
      </c>
      <c r="K29" s="22" t="s">
        <v>1358</v>
      </c>
      <c r="L29" s="22" t="s">
        <v>1359</v>
      </c>
      <c r="M29" s="22" t="s">
        <v>1360</v>
      </c>
      <c r="N29" s="22" t="s">
        <v>1361</v>
      </c>
      <c r="O29" s="22"/>
      <c r="P29" s="22"/>
      <c r="Q29" s="22"/>
      <c r="R29" s="22" t="s">
        <v>1362</v>
      </c>
      <c r="S29" s="22" t="s">
        <v>1363</v>
      </c>
      <c r="T29" s="22" t="s">
        <v>1364</v>
      </c>
      <c r="U29" s="22" t="s">
        <v>1365</v>
      </c>
      <c r="V29" s="22" t="s">
        <v>1366</v>
      </c>
      <c r="W29" s="22" t="s">
        <v>1367</v>
      </c>
    </row>
    <row r="30" spans="1:23" ht="42" customHeight="1" x14ac:dyDescent="0.25">
      <c r="A30" s="6" t="s">
        <v>1368</v>
      </c>
      <c r="B30" s="11" t="s">
        <v>1369</v>
      </c>
      <c r="C30" s="11">
        <v>4</v>
      </c>
      <c r="D30" s="11" t="s">
        <v>1370</v>
      </c>
      <c r="E30" s="11" t="s">
        <v>1371</v>
      </c>
      <c r="F30" s="22" t="s">
        <v>1107</v>
      </c>
      <c r="G30" s="22" t="s">
        <v>1108</v>
      </c>
      <c r="H30" s="22" t="s">
        <v>1372</v>
      </c>
      <c r="I30" s="22" t="s">
        <v>1373</v>
      </c>
      <c r="J30" s="22" t="s">
        <v>1094</v>
      </c>
      <c r="K30" s="22" t="s">
        <v>1337</v>
      </c>
      <c r="L30" s="22" t="s">
        <v>1116</v>
      </c>
      <c r="M30" s="22" t="s">
        <v>1374</v>
      </c>
      <c r="N30" s="22" t="s">
        <v>1375</v>
      </c>
      <c r="O30" s="22"/>
      <c r="P30" s="22"/>
      <c r="Q30" s="22"/>
      <c r="R30" s="22" t="s">
        <v>1376</v>
      </c>
      <c r="S30" s="22" t="s">
        <v>1377</v>
      </c>
      <c r="T30" s="22" t="s">
        <v>1378</v>
      </c>
      <c r="U30" s="22" t="s">
        <v>1379</v>
      </c>
      <c r="V30" s="22" t="s">
        <v>1380</v>
      </c>
      <c r="W30" s="22" t="s">
        <v>1381</v>
      </c>
    </row>
    <row r="31" spans="1:23" ht="42" customHeight="1" x14ac:dyDescent="0.25">
      <c r="A31" s="6"/>
      <c r="B31" s="11"/>
      <c r="C31" s="11"/>
      <c r="D31" s="11"/>
      <c r="E31" s="11"/>
      <c r="F31" s="23"/>
      <c r="G31" s="23"/>
      <c r="H31" s="23"/>
      <c r="I31" s="23"/>
      <c r="J31" s="23"/>
      <c r="K31" s="23"/>
      <c r="L31" s="23"/>
      <c r="M31" s="23"/>
      <c r="N31" s="23"/>
      <c r="O31" s="23"/>
      <c r="P31" s="23"/>
      <c r="Q31" s="23"/>
      <c r="R31" s="23"/>
      <c r="S31" s="23"/>
      <c r="T31" s="23"/>
      <c r="U31" s="23"/>
      <c r="V31" s="23"/>
      <c r="W31" s="23"/>
    </row>
    <row r="32" spans="1:23" ht="42" customHeight="1" x14ac:dyDescent="0.25">
      <c r="A32" s="6"/>
      <c r="B32" s="11"/>
      <c r="C32" s="11"/>
      <c r="D32" s="11"/>
      <c r="E32" s="11"/>
      <c r="F32" s="23"/>
      <c r="G32" s="23"/>
      <c r="H32" s="23"/>
      <c r="I32" s="23"/>
      <c r="J32" s="23"/>
      <c r="K32" s="23"/>
      <c r="L32" s="23"/>
      <c r="M32" s="23"/>
      <c r="N32" s="23"/>
      <c r="O32" s="23"/>
      <c r="P32" s="23"/>
      <c r="Q32" s="23"/>
      <c r="R32" s="23"/>
      <c r="S32" s="23"/>
      <c r="T32" s="23"/>
      <c r="U32" s="23"/>
      <c r="V32" s="23"/>
      <c r="W32" s="23"/>
    </row>
    <row r="33" spans="1:23" ht="42" customHeight="1" x14ac:dyDescent="0.25">
      <c r="A33" s="6"/>
      <c r="B33" s="11"/>
      <c r="C33" s="11"/>
      <c r="D33" s="11"/>
      <c r="E33" s="11"/>
      <c r="F33" s="23"/>
      <c r="G33" s="23"/>
      <c r="H33" s="23"/>
      <c r="I33" s="23"/>
      <c r="J33" s="23"/>
      <c r="K33" s="23"/>
      <c r="L33" s="23"/>
      <c r="M33" s="23"/>
      <c r="N33" s="23"/>
      <c r="O33" s="23"/>
      <c r="P33" s="23"/>
      <c r="Q33" s="23"/>
      <c r="R33" s="23"/>
      <c r="S33" s="23"/>
      <c r="T33" s="23"/>
      <c r="U33" s="23"/>
      <c r="V33" s="23"/>
      <c r="W33" s="23"/>
    </row>
    <row r="34" spans="1:23" ht="42" customHeight="1" x14ac:dyDescent="0.25">
      <c r="A34" s="6"/>
      <c r="B34" s="11"/>
      <c r="C34" s="11"/>
      <c r="D34" s="11"/>
      <c r="E34" s="11"/>
      <c r="F34" s="23"/>
      <c r="G34" s="23"/>
      <c r="H34" s="23"/>
      <c r="I34" s="23"/>
      <c r="J34" s="23"/>
      <c r="K34" s="23"/>
      <c r="L34" s="23"/>
      <c r="M34" s="23"/>
      <c r="N34" s="23"/>
      <c r="O34" s="23"/>
      <c r="P34" s="23"/>
      <c r="Q34" s="23"/>
      <c r="R34" s="23"/>
      <c r="S34" s="23"/>
      <c r="T34" s="23"/>
      <c r="U34" s="23"/>
      <c r="V34" s="23"/>
      <c r="W34" s="23"/>
    </row>
    <row r="35" spans="1:23" ht="42" customHeight="1" x14ac:dyDescent="0.25">
      <c r="A35" s="6"/>
      <c r="B35" s="11"/>
      <c r="C35" s="11"/>
      <c r="D35" s="11"/>
      <c r="E35" s="11"/>
      <c r="F35" s="23"/>
      <c r="G35" s="23"/>
      <c r="H35" s="23"/>
      <c r="I35" s="23"/>
      <c r="J35" s="23"/>
      <c r="K35" s="23"/>
      <c r="L35" s="23"/>
      <c r="M35" s="23"/>
      <c r="N35" s="23"/>
      <c r="O35" s="23"/>
      <c r="P35" s="23"/>
      <c r="Q35" s="23"/>
      <c r="R35" s="23"/>
      <c r="S35" s="23"/>
      <c r="T35" s="23"/>
      <c r="U35" s="23"/>
      <c r="V35" s="23"/>
      <c r="W35" s="23"/>
    </row>
    <row r="36" spans="1:23" ht="42" customHeight="1" x14ac:dyDescent="0.25">
      <c r="A36" s="6"/>
      <c r="B36" s="11"/>
      <c r="C36" s="11"/>
      <c r="D36" s="11"/>
      <c r="E36" s="11"/>
      <c r="F36" s="23"/>
      <c r="G36" s="23"/>
      <c r="H36" s="23"/>
      <c r="I36" s="23"/>
      <c r="J36" s="23"/>
      <c r="K36" s="23"/>
      <c r="L36" s="23"/>
      <c r="M36" s="23"/>
      <c r="N36" s="23"/>
      <c r="O36" s="23"/>
      <c r="P36" s="23"/>
      <c r="Q36" s="23"/>
      <c r="R36" s="23"/>
      <c r="S36" s="23"/>
      <c r="T36" s="23"/>
      <c r="U36" s="23"/>
      <c r="V36" s="23"/>
      <c r="W36" s="23"/>
    </row>
    <row r="37" spans="1:23" ht="42" customHeight="1" x14ac:dyDescent="0.25">
      <c r="A37" s="6"/>
      <c r="B37" s="11"/>
      <c r="C37" s="11"/>
      <c r="D37" s="11"/>
      <c r="E37" s="11"/>
      <c r="F37" s="23"/>
      <c r="G37" s="23"/>
      <c r="H37" s="23"/>
      <c r="I37" s="23"/>
      <c r="J37" s="23"/>
      <c r="K37" s="23"/>
      <c r="L37" s="23"/>
      <c r="M37" s="23"/>
      <c r="N37" s="23"/>
      <c r="O37" s="23"/>
      <c r="P37" s="23"/>
      <c r="Q37" s="23"/>
      <c r="R37" s="23"/>
      <c r="S37" s="23"/>
      <c r="T37" s="23"/>
      <c r="U37" s="23"/>
      <c r="V37" s="23"/>
      <c r="W37" s="23"/>
    </row>
    <row r="38" spans="1:23" ht="42" customHeight="1" x14ac:dyDescent="0.25">
      <c r="A38" s="6"/>
      <c r="B38" s="11"/>
      <c r="C38" s="11"/>
      <c r="D38" s="11"/>
      <c r="E38" s="11"/>
      <c r="F38" s="23"/>
      <c r="G38" s="23"/>
      <c r="H38" s="23"/>
      <c r="I38" s="23"/>
      <c r="J38" s="23"/>
      <c r="K38" s="23"/>
      <c r="L38" s="23"/>
      <c r="M38" s="23"/>
      <c r="N38" s="23"/>
      <c r="O38" s="23"/>
      <c r="P38" s="23"/>
      <c r="Q38" s="23"/>
      <c r="R38" s="23"/>
      <c r="S38" s="23"/>
      <c r="T38" s="23"/>
      <c r="U38" s="23"/>
      <c r="V38" s="23"/>
      <c r="W38" s="23"/>
    </row>
    <row r="39" spans="1:23" ht="42" customHeight="1" x14ac:dyDescent="0.25">
      <c r="A39" s="6"/>
      <c r="B39" s="11"/>
      <c r="C39" s="11"/>
      <c r="D39" s="11"/>
      <c r="E39" s="11"/>
      <c r="F39" s="23"/>
      <c r="G39" s="23"/>
      <c r="H39" s="23"/>
      <c r="I39" s="23"/>
      <c r="J39" s="23"/>
      <c r="K39" s="23"/>
      <c r="L39" s="23"/>
      <c r="M39" s="23"/>
      <c r="N39" s="23"/>
      <c r="O39" s="23"/>
      <c r="P39" s="23"/>
      <c r="Q39" s="23"/>
      <c r="R39" s="23"/>
      <c r="S39" s="23"/>
      <c r="T39" s="23"/>
      <c r="U39" s="23"/>
      <c r="V39" s="23"/>
      <c r="W39" s="23"/>
    </row>
    <row r="40" spans="1:23" ht="42" customHeight="1" x14ac:dyDescent="0.25">
      <c r="A40" s="8"/>
      <c r="B40" s="12"/>
      <c r="C40" s="12"/>
      <c r="D40" s="12"/>
      <c r="E40" s="12"/>
      <c r="F40" s="24"/>
      <c r="G40" s="24"/>
      <c r="H40" s="24"/>
      <c r="I40" s="24"/>
      <c r="J40" s="24"/>
      <c r="K40" s="24"/>
      <c r="L40" s="24"/>
      <c r="M40" s="24"/>
      <c r="N40" s="24"/>
      <c r="O40" s="24"/>
      <c r="P40" s="24"/>
      <c r="Q40" s="24"/>
      <c r="R40" s="24"/>
      <c r="S40" s="24"/>
      <c r="T40" s="24"/>
      <c r="U40" s="24"/>
      <c r="V40" s="24"/>
      <c r="W40"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5EBC-7C9F-48B7-878A-E9C9077385CD}">
  <dimension ref="A1:CW2453"/>
  <sheetViews>
    <sheetView showGridLines="0" workbookViewId="0">
      <selection activeCell="A5" sqref="A5"/>
    </sheetView>
  </sheetViews>
  <sheetFormatPr baseColWidth="10" defaultColWidth="9" defaultRowHeight="15" x14ac:dyDescent="0.25"/>
  <cols>
    <col min="1" max="1" width="6.75" style="581" customWidth="1"/>
    <col min="2" max="2" width="50.25" style="632" customWidth="1"/>
    <col min="3" max="3" width="50.25" style="581" customWidth="1"/>
    <col min="4" max="4" width="38.875" style="581" customWidth="1"/>
    <col min="5" max="18" width="12.125" style="581" customWidth="1"/>
    <col min="19" max="19" width="34.25" style="581" customWidth="1"/>
    <col min="20" max="20" width="2.25" style="581" customWidth="1"/>
    <col min="21" max="27" width="20.625" style="581" customWidth="1"/>
    <col min="28" max="90" width="5.75" style="581" customWidth="1"/>
    <col min="91" max="91" width="2" style="635" customWidth="1"/>
    <col min="92" max="92" width="12.625" style="581" customWidth="1"/>
    <col min="93" max="93" width="36.625" style="581" customWidth="1"/>
    <col min="94" max="94" width="14.875" style="581" customWidth="1"/>
    <col min="95" max="96" width="36.625" style="581" customWidth="1"/>
    <col min="97" max="97" width="40.875" style="581" customWidth="1"/>
    <col min="98" max="98" width="52.625" style="581" customWidth="1"/>
    <col min="99" max="99" width="77.75" style="581" customWidth="1"/>
    <col min="100" max="100" width="11.375" style="581" customWidth="1"/>
    <col min="101" max="16384" width="9" style="581"/>
  </cols>
  <sheetData>
    <row r="1" spans="1:101" ht="27.95" customHeight="1" x14ac:dyDescent="0.25">
      <c r="A1" s="724" t="s">
        <v>1875</v>
      </c>
      <c r="B1" s="724"/>
      <c r="C1" s="724"/>
      <c r="D1" s="724"/>
      <c r="E1" s="724"/>
      <c r="F1" s="724"/>
      <c r="G1" s="724"/>
      <c r="H1" s="724"/>
      <c r="I1" s="724"/>
      <c r="J1" s="724"/>
      <c r="K1" s="724"/>
      <c r="L1" s="724"/>
      <c r="M1" s="724"/>
      <c r="N1" s="724"/>
      <c r="O1" s="724"/>
      <c r="P1" s="724"/>
      <c r="Q1" s="724"/>
      <c r="R1" s="724"/>
      <c r="S1" s="724"/>
      <c r="CM1" s="582"/>
      <c r="CN1" s="583" t="s">
        <v>1876</v>
      </c>
      <c r="CO1" s="583" t="s">
        <v>1877</v>
      </c>
      <c r="CP1" s="583" t="s">
        <v>1878</v>
      </c>
      <c r="CQ1" s="583" t="s">
        <v>1879</v>
      </c>
      <c r="CR1" s="583" t="s">
        <v>1880</v>
      </c>
      <c r="CS1" s="583" t="s">
        <v>1881</v>
      </c>
      <c r="CT1" s="583" t="s">
        <v>1882</v>
      </c>
      <c r="CU1" s="583" t="s">
        <v>1883</v>
      </c>
      <c r="CV1" s="583" t="s">
        <v>1884</v>
      </c>
      <c r="CW1" s="583"/>
    </row>
    <row r="2" spans="1:101" ht="23.1" customHeight="1" x14ac:dyDescent="0.25">
      <c r="A2" s="725" t="s">
        <v>1885</v>
      </c>
      <c r="B2" s="725"/>
      <c r="C2" s="725"/>
      <c r="D2" s="725"/>
      <c r="E2" s="725"/>
      <c r="F2" s="725"/>
      <c r="G2" s="725"/>
      <c r="H2" s="725"/>
      <c r="I2" s="725"/>
      <c r="J2" s="725"/>
      <c r="K2" s="725"/>
      <c r="L2" s="725"/>
      <c r="M2" s="725"/>
      <c r="N2" s="725"/>
      <c r="O2" s="725"/>
      <c r="P2" s="725"/>
      <c r="Q2" s="725"/>
      <c r="R2" s="725"/>
      <c r="S2" s="725"/>
      <c r="CM2" s="582"/>
      <c r="CN2" s="584" t="s">
        <v>1886</v>
      </c>
      <c r="CO2" s="584" t="s">
        <v>1887</v>
      </c>
      <c r="CP2" s="584" t="s">
        <v>1888</v>
      </c>
      <c r="CQ2" s="584" t="s">
        <v>1889</v>
      </c>
      <c r="CR2" s="584" t="s">
        <v>1889</v>
      </c>
      <c r="CS2" s="584" t="s">
        <v>1890</v>
      </c>
      <c r="CT2" s="584" t="s">
        <v>1891</v>
      </c>
      <c r="CU2" s="584" t="s">
        <v>1892</v>
      </c>
      <c r="CV2" s="585" t="s">
        <v>1893</v>
      </c>
    </row>
    <row r="3" spans="1:101" ht="23.1" customHeight="1" x14ac:dyDescent="0.25">
      <c r="A3" s="726" t="s">
        <v>1894</v>
      </c>
      <c r="B3" s="726"/>
      <c r="C3" s="726"/>
      <c r="D3" s="726"/>
      <c r="E3" s="726"/>
      <c r="F3" s="726"/>
      <c r="G3" s="726"/>
      <c r="H3" s="726"/>
      <c r="I3" s="726"/>
      <c r="J3" s="726"/>
      <c r="K3" s="726"/>
      <c r="L3" s="726"/>
      <c r="M3" s="726"/>
      <c r="N3" s="726"/>
      <c r="O3" s="726"/>
      <c r="P3" s="726"/>
      <c r="Q3" s="726"/>
      <c r="R3" s="726"/>
      <c r="S3" s="726"/>
      <c r="CM3" s="582"/>
      <c r="CN3" s="584" t="s">
        <v>1895</v>
      </c>
      <c r="CO3" s="584" t="s">
        <v>1887</v>
      </c>
      <c r="CP3" s="584" t="s">
        <v>1888</v>
      </c>
      <c r="CQ3" s="584" t="s">
        <v>1896</v>
      </c>
      <c r="CR3" s="584" t="s">
        <v>1897</v>
      </c>
      <c r="CS3" s="584" t="s">
        <v>1890</v>
      </c>
      <c r="CT3" s="584" t="s">
        <v>1891</v>
      </c>
      <c r="CU3" s="584" t="s">
        <v>1892</v>
      </c>
      <c r="CV3" s="585" t="s">
        <v>1893</v>
      </c>
    </row>
    <row r="4" spans="1:101" ht="20.100000000000001" customHeight="1" x14ac:dyDescent="0.25">
      <c r="A4" s="586"/>
      <c r="B4" s="587" t="s">
        <v>1898</v>
      </c>
      <c r="C4" s="588"/>
      <c r="D4" s="588"/>
      <c r="E4" s="589"/>
      <c r="F4" s="590" t="s">
        <v>1887</v>
      </c>
      <c r="G4" s="589"/>
      <c r="H4" s="591"/>
      <c r="I4" s="591"/>
      <c r="J4" s="591"/>
      <c r="K4" s="591"/>
      <c r="L4" s="591"/>
      <c r="M4" s="591"/>
      <c r="N4" s="591"/>
      <c r="O4" s="591"/>
      <c r="P4" s="591"/>
      <c r="Q4" s="591"/>
      <c r="R4" s="591"/>
      <c r="S4" s="591"/>
      <c r="CM4" s="582"/>
      <c r="CN4" s="584" t="s">
        <v>1899</v>
      </c>
      <c r="CO4" s="584" t="s">
        <v>1887</v>
      </c>
      <c r="CP4" s="584" t="s">
        <v>1888</v>
      </c>
      <c r="CQ4" s="584" t="s">
        <v>1900</v>
      </c>
      <c r="CR4" s="584" t="s">
        <v>1900</v>
      </c>
      <c r="CS4" s="584" t="s">
        <v>1890</v>
      </c>
      <c r="CT4" s="584" t="s">
        <v>1891</v>
      </c>
      <c r="CU4" s="584" t="s">
        <v>1892</v>
      </c>
      <c r="CV4" s="585" t="s">
        <v>1893</v>
      </c>
    </row>
    <row r="5" spans="1:101" ht="18.75" x14ac:dyDescent="0.25">
      <c r="A5" s="586"/>
      <c r="B5" s="727" t="s">
        <v>1901</v>
      </c>
      <c r="C5" s="727"/>
      <c r="D5" s="727"/>
      <c r="E5" s="592" t="s">
        <v>1902</v>
      </c>
      <c r="F5" s="586"/>
      <c r="G5" s="586"/>
      <c r="H5" s="586"/>
      <c r="I5" s="586"/>
      <c r="J5" s="586"/>
      <c r="K5" s="586"/>
      <c r="L5" s="586"/>
      <c r="M5" s="586"/>
      <c r="N5" s="586"/>
      <c r="O5" s="586"/>
      <c r="P5" s="586"/>
      <c r="Q5" s="586"/>
      <c r="R5" s="586"/>
      <c r="S5" s="586"/>
      <c r="CM5" s="582"/>
      <c r="CN5" s="584" t="s">
        <v>1903</v>
      </c>
      <c r="CO5" s="584" t="s">
        <v>1887</v>
      </c>
      <c r="CP5" s="584" t="s">
        <v>1888</v>
      </c>
      <c r="CQ5" s="584" t="s">
        <v>1904</v>
      </c>
      <c r="CR5" s="584" t="s">
        <v>1904</v>
      </c>
      <c r="CS5" s="584" t="s">
        <v>1890</v>
      </c>
      <c r="CT5" s="584" t="s">
        <v>1891</v>
      </c>
      <c r="CU5" s="584" t="s">
        <v>1892</v>
      </c>
      <c r="CV5" s="585" t="s">
        <v>1893</v>
      </c>
    </row>
    <row r="6" spans="1:101" ht="51.95" customHeight="1" x14ac:dyDescent="0.25">
      <c r="A6" s="593" t="s">
        <v>15</v>
      </c>
      <c r="B6" s="594" t="s">
        <v>1905</v>
      </c>
      <c r="C6" s="595" t="s">
        <v>1906</v>
      </c>
      <c r="D6" s="595" t="s">
        <v>1907</v>
      </c>
      <c r="E6" s="593" t="s">
        <v>1887</v>
      </c>
      <c r="F6" s="593" t="s">
        <v>1908</v>
      </c>
      <c r="G6" s="593" t="s">
        <v>1909</v>
      </c>
      <c r="H6" s="593" t="s">
        <v>1910</v>
      </c>
      <c r="I6" s="593" t="s">
        <v>1911</v>
      </c>
      <c r="J6" s="593" t="s">
        <v>799</v>
      </c>
      <c r="K6" s="593" t="s">
        <v>1912</v>
      </c>
      <c r="L6" s="593" t="s">
        <v>1913</v>
      </c>
      <c r="M6" s="593" t="s">
        <v>1914</v>
      </c>
      <c r="N6" s="593" t="s">
        <v>1915</v>
      </c>
      <c r="O6" s="593" t="s">
        <v>1916</v>
      </c>
      <c r="P6" s="593" t="s">
        <v>1917</v>
      </c>
      <c r="Q6" s="593" t="s">
        <v>648</v>
      </c>
      <c r="R6" s="593" t="s">
        <v>1918</v>
      </c>
      <c r="S6" s="593" t="s">
        <v>1919</v>
      </c>
      <c r="U6" s="596" t="s">
        <v>1920</v>
      </c>
      <c r="V6" s="596" t="s">
        <v>1921</v>
      </c>
      <c r="W6" s="596" t="s">
        <v>1922</v>
      </c>
      <c r="X6" s="596" t="s">
        <v>1923</v>
      </c>
      <c r="Y6" s="596" t="s">
        <v>1924</v>
      </c>
      <c r="Z6" s="596" t="s">
        <v>1925</v>
      </c>
      <c r="AA6" s="596" t="s">
        <v>1926</v>
      </c>
      <c r="AB6" s="596" t="s">
        <v>1927</v>
      </c>
      <c r="AC6" s="596" t="s">
        <v>1928</v>
      </c>
      <c r="AD6" s="596" t="s">
        <v>1929</v>
      </c>
      <c r="AE6" s="596" t="s">
        <v>1930</v>
      </c>
      <c r="AF6" s="596" t="s">
        <v>1887</v>
      </c>
      <c r="AG6" s="596" t="s">
        <v>1931</v>
      </c>
      <c r="AH6" s="596" t="s">
        <v>1932</v>
      </c>
      <c r="AI6" s="596" t="s">
        <v>1908</v>
      </c>
      <c r="AJ6" s="596" t="s">
        <v>1933</v>
      </c>
      <c r="AK6" s="596" t="s">
        <v>1934</v>
      </c>
      <c r="AL6" s="596" t="s">
        <v>1935</v>
      </c>
      <c r="AM6" s="596" t="s">
        <v>1909</v>
      </c>
      <c r="AN6" s="596" t="s">
        <v>1936</v>
      </c>
      <c r="AO6" s="596" t="s">
        <v>1937</v>
      </c>
      <c r="AP6" s="596" t="s">
        <v>1938</v>
      </c>
      <c r="AQ6" s="596" t="s">
        <v>1939</v>
      </c>
      <c r="AR6" s="596" t="s">
        <v>1940</v>
      </c>
      <c r="AS6" s="596" t="s">
        <v>1941</v>
      </c>
      <c r="AT6" s="596" t="s">
        <v>1942</v>
      </c>
      <c r="AU6" s="596" t="s">
        <v>1943</v>
      </c>
      <c r="AV6" s="596" t="s">
        <v>1944</v>
      </c>
      <c r="AW6" s="596" t="s">
        <v>1945</v>
      </c>
      <c r="AX6" s="596" t="s">
        <v>1946</v>
      </c>
      <c r="AY6" s="596" t="s">
        <v>1947</v>
      </c>
      <c r="AZ6" s="596" t="s">
        <v>1910</v>
      </c>
      <c r="BA6" s="596" t="s">
        <v>1948</v>
      </c>
      <c r="BB6" s="596" t="s">
        <v>1911</v>
      </c>
      <c r="BC6" s="596" t="s">
        <v>1949</v>
      </c>
      <c r="BD6" s="596" t="s">
        <v>1950</v>
      </c>
      <c r="BE6" s="596" t="s">
        <v>1951</v>
      </c>
      <c r="BF6" s="596" t="s">
        <v>799</v>
      </c>
      <c r="BG6" s="596" t="s">
        <v>1952</v>
      </c>
      <c r="BH6" s="596" t="s">
        <v>1953</v>
      </c>
      <c r="BI6" s="596" t="s">
        <v>1954</v>
      </c>
      <c r="BJ6" s="596" t="s">
        <v>1955</v>
      </c>
      <c r="BK6" s="596" t="s">
        <v>1956</v>
      </c>
      <c r="BL6" s="596" t="s">
        <v>1957</v>
      </c>
      <c r="BM6" s="596" t="s">
        <v>1912</v>
      </c>
      <c r="BN6" s="596" t="s">
        <v>1958</v>
      </c>
      <c r="BO6" s="596" t="s">
        <v>1959</v>
      </c>
      <c r="BP6" s="596" t="s">
        <v>1960</v>
      </c>
      <c r="BQ6" s="596" t="s">
        <v>1913</v>
      </c>
      <c r="BR6" s="596" t="s">
        <v>1961</v>
      </c>
      <c r="BS6" s="596" t="s">
        <v>1962</v>
      </c>
      <c r="BT6" s="596" t="s">
        <v>1914</v>
      </c>
      <c r="BU6" s="596" t="s">
        <v>1963</v>
      </c>
      <c r="BV6" s="596" t="s">
        <v>1964</v>
      </c>
      <c r="BW6" s="596" t="s">
        <v>1915</v>
      </c>
      <c r="BX6" s="596" t="s">
        <v>1965</v>
      </c>
      <c r="BY6" s="596" t="s">
        <v>1966</v>
      </c>
      <c r="BZ6" s="596" t="s">
        <v>1916</v>
      </c>
      <c r="CA6" s="596" t="s">
        <v>1967</v>
      </c>
      <c r="CB6" s="596" t="s">
        <v>1968</v>
      </c>
      <c r="CC6" s="596" t="s">
        <v>1917</v>
      </c>
      <c r="CD6" s="596" t="s">
        <v>1969</v>
      </c>
      <c r="CE6" s="596" t="s">
        <v>1970</v>
      </c>
      <c r="CF6" s="596" t="s">
        <v>648</v>
      </c>
      <c r="CG6" s="596" t="s">
        <v>1971</v>
      </c>
      <c r="CH6" s="596" t="s">
        <v>1972</v>
      </c>
      <c r="CI6" s="596" t="s">
        <v>1973</v>
      </c>
      <c r="CJ6" s="596" t="s">
        <v>1974</v>
      </c>
      <c r="CK6" s="596" t="s">
        <v>1975</v>
      </c>
      <c r="CL6" s="596" t="s">
        <v>1918</v>
      </c>
      <c r="CM6" s="582"/>
      <c r="CN6" s="584" t="s">
        <v>1976</v>
      </c>
      <c r="CO6" s="584" t="s">
        <v>1887</v>
      </c>
      <c r="CP6" s="584" t="s">
        <v>1888</v>
      </c>
      <c r="CQ6" s="584" t="s">
        <v>1977</v>
      </c>
      <c r="CR6" s="584" t="s">
        <v>1977</v>
      </c>
      <c r="CS6" s="584" t="s">
        <v>1978</v>
      </c>
      <c r="CT6" s="584" t="s">
        <v>1979</v>
      </c>
      <c r="CU6" s="584" t="s">
        <v>1892</v>
      </c>
      <c r="CV6" s="585" t="s">
        <v>1980</v>
      </c>
    </row>
    <row r="7" spans="1:101" ht="21.95" customHeight="1" x14ac:dyDescent="0.25">
      <c r="A7" s="597">
        <v>1</v>
      </c>
      <c r="B7" s="598" t="s">
        <v>1981</v>
      </c>
      <c r="C7" s="599" t="str">
        <f t="shared" ref="C7:C66" si="0">IF($B7="","",TRIM(IF(RIGHT(TRIM($B7),1)="?",LEFT(TRIM($B7),LEN(TRIM($B7))-1),TRIM($B7)))&amp;IF(COUNTIF($E7:$R7,"X")&gt;0," *",IF(COUNTIF($E7:$R7,"~?")&gt;0," ?","")))</f>
        <v>Biche ou kangourou</v>
      </c>
      <c r="D7" s="600"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601" t="str">
        <f>IF(7=7,IF($B7="","",AF7),"")</f>
        <v/>
      </c>
      <c r="F7" s="601" t="str">
        <f>IF(7=7,IF($B7="","",AI7),"")</f>
        <v/>
      </c>
      <c r="G7" s="601" t="str">
        <f>IF(7=7,IF($B7="","",AM7),"")</f>
        <v/>
      </c>
      <c r="H7" s="601" t="str">
        <f>IF(7=7,IF($B7="","",AZ7),"")</f>
        <v/>
      </c>
      <c r="I7" s="601" t="str">
        <f>IF(7=7,IF($B7="","",BB7),"")</f>
        <v/>
      </c>
      <c r="J7" s="601" t="str">
        <f>IF(7=7,IF($B7="","",BF7),"")</f>
        <v/>
      </c>
      <c r="K7" s="601" t="str">
        <f>IF(7=7,IF($B7="","",BM7),"")</f>
        <v/>
      </c>
      <c r="L7" s="601" t="str">
        <f>IF(7=7,IF($B7="","",BQ7),"")</f>
        <v/>
      </c>
      <c r="M7" s="601" t="str">
        <f>IF(7=7,IF($B7="","",BT7),"")</f>
        <v/>
      </c>
      <c r="N7" s="601" t="str">
        <f>IF(7=7,IF($B7="","",BW7),"")</f>
        <v/>
      </c>
      <c r="O7" s="601" t="str">
        <f>IF(7=7,IF($B7="","",BZ7),"")</f>
        <v/>
      </c>
      <c r="P7" s="601" t="str">
        <f>IF(7=7,IF($B7="","",CC7),"")</f>
        <v/>
      </c>
      <c r="Q7" s="601" t="str">
        <f>IF(7=7,IF($B7="","",CF7),"")</f>
        <v/>
      </c>
      <c r="R7" s="601" t="str">
        <f>IF(7=7,IF($B7="","",CL7),"")</f>
        <v/>
      </c>
      <c r="S7" s="602"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581" t="str">
        <f>IF(7=7,IF($B7="","",$B7),"")</f>
        <v>Biche ou kangourou</v>
      </c>
      <c r="V7" s="581" t="str">
        <f>IF(7=7,LOWER(CLEAN(SUBSTITUTE(SUBSTITUTE(SUBSTITUTE(SUBSTITUTE($U7,CHAR(160)," ")," "," "),CHAR(10)," "),CHAR(13)," "))),"")</f>
        <v>biche ou kangourou</v>
      </c>
      <c r="W7" s="581" t="str">
        <f>IF(7=7,SUBSTITUTE(SUBSTITUTE(SUBSTITUTE(SUBSTITUTE(SUBSTITUTE(SUBSTITUTE(SUBSTITUTE(SUBSTITUTE(SUBSTITUTE(SUBSTITUTE(SUBSTITUTE(SUBSTITUTE($V7,"œ","oe"),"æ","ae"),"à","a"),"á","a"),"â","a"),"ä","a"),"ã","a"),"ç","c"),"è","e"),"é","e"),"ê","e"),"ë","e"),"")</f>
        <v>biche ou kangourou</v>
      </c>
      <c r="X7" s="581" t="str">
        <f>IF(7=7,SUBSTITUTE(SUBSTITUTE(SUBSTITUTE(SUBSTITUTE(SUBSTITUTE(SUBSTITUTE(SUBSTITUTE(SUBSTITUTE(SUBSTITUTE(SUBSTITUTE(SUBSTITUTE(SUBSTITUTE(SUBSTITUTE(SUBSTITUTE(SUBSTITUTE(SUBSTITUTE($W7,"ì","i"),"í","i"),"î","i"),"ï","i"),"ñ","n"),"ò","o"),"ó","o"),"ô","o"),"ö","o"),"õ","o"),"ù","u"),"ú","u"),"û","u"),"ü","u"),"ý","y"),"ÿ","y"),"")</f>
        <v>biche ou kangourou</v>
      </c>
      <c r="Y7" s="581" t="str">
        <f>IF(7=7,SUBSTITUTE(SUBSTITUTE(SUBSTITUTE(SUBSTITUTE(SUBSTITUTE(SUBSTITUTE(SUBSTITUTE(SUBSTITUTE(SUBSTITUTE(SUBSTITUTE(SUBSTITUTE(SUBSTITUTE(SUBSTITUTE(SUBSTITUTE($X7,"’"," "),"`"," "),"–"," "),"—"," "),"-"," "),"'"," "),"/"," "),"_"," "),","," "),"."," "),"("," "),")"," "),";"," "),":"," "),"")</f>
        <v>biche ou kangourou</v>
      </c>
      <c r="Z7" s="581" t="str">
        <f>IF(7=7,SUBSTITUTE(SUBSTITUTE(SUBSTITUTE(SUBSTITUTE(SUBSTITUTE(SUBSTITUTE(SUBSTITUTE(SUBSTITUTE(SUBSTITUTE(SUBSTITUTE(SUBSTITUTE(SUBSTITUTE(SUBSTITUTE(SUBSTITUTE(SUBSTITUTE($Y7,"!"," "),"?"," "),"+"," "),"*"," "),"&amp;"," "),"["," "),"]"," "),"{"," "),"}"," "),"%"," "),"="," "),"\"," "),"|"," "),"&lt;"," "),"&gt;"," "),"")</f>
        <v>biche ou kangourou</v>
      </c>
      <c r="AA7" s="581" t="str">
        <f>IF(7=7," "&amp;TRIM(SUBSTITUTE(SUBSTITUTE(SUBSTITUTE(SUBSTITUTE(SUBSTITUTE(SUBSTITUTE($Z7,CHAR(34)," "),"  "," "),"  "," "),"  "," "),"  "," "),"  "," "))&amp;" ","")</f>
        <v xml:space="preserve"> biche ou kangourou </v>
      </c>
      <c r="AB7" s="581">
        <f>IF(7=7,IF($U7="","",SUMPRODUCT(--ISNUMBER(SEARCH(" "&amp;$CR$2:$CR$101&amp;" ",$AD7)))),"")</f>
        <v>0</v>
      </c>
      <c r="AC7" s="581">
        <f>IF(7=7,IF($U7="","",SUMPRODUCT(--ISNUMBER(SEARCH(" "&amp;$CR$102:$CR$151&amp;" ",$AD7)))),"")</f>
        <v>0</v>
      </c>
      <c r="AD7" s="581" t="e">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7" s="581">
        <f>IF(7=7,IF($U7="","",SUMPRODUCT(--ISNUMBER(SEARCH(" "&amp;$CR$184:$CR$205&amp;" ",$AD7)))),"")</f>
        <v>0</v>
      </c>
      <c r="AF7" s="581" t="str">
        <f>IF(7=7,IF($U7="","",IF(SUM(AB7:AC7)+SUMPRODUCT(--ISNUMBER(SEARCH(" "&amp;$CR$2418:$CR$2420&amp;" ",$AD7)))&gt;0,"X",IF(AE7&gt;0,"?",""))),"")</f>
        <v/>
      </c>
      <c r="AG7" s="581">
        <f>IF(7=7,IF($U7="","",SUMPRODUCT(--ISNUMBER(SEARCH(" "&amp;$CR$206:$CR$305&amp;" ",$AA7)))),"")</f>
        <v>0</v>
      </c>
      <c r="AH7" s="581">
        <f>IF(7=7,IF($U7="","",SUMPRODUCT(--ISNUMBER(SEARCH(" "&amp;$CR$306:$CR$340&amp;" ",$AA7)))),"")</f>
        <v>0</v>
      </c>
      <c r="AI7" s="581" t="str">
        <f>IF(7=7,IF($U7="","",IF((SUM(AG7:AH7))-(0)&gt;0,"X",IF((0)-(0)&gt;0,"?",""))),"")</f>
        <v/>
      </c>
      <c r="AJ7" s="581">
        <f>IF(7=7,IF($U7="","",SUMPRODUCT(--ISNUMBER(SEARCH(" "&amp;$CR$341:$CR$398&amp;" ",$AA7)))),"")</f>
        <v>0</v>
      </c>
      <c r="AK7" s="581">
        <f>IF(7=7,IF($U7="","",SUMPRODUCT(--ISNUMBER(SEARCH(" "&amp;$CR$399:$CR$426&amp;" ",$AL7)))+SUMPRODUCT(--ISNUMBER(SEARCH(" "&amp;$CR$2440:$CR$2453&amp;" ",$AL7)))),"")</f>
        <v>0</v>
      </c>
      <c r="AL7" s="581" t="str">
        <f>IF(7=7,IF($U7="","",SUBSTITUTE(SUBSTITUTE(SUBSTITUTE(SUBSTITUTE(SUBSTITUTE(SUBSTITUTE(SUBSTITUTE(SUBSTITUTE(SUBSTITUTE(SUBSTITUTE(SUBSTITUTE(SUBSTITUTE(SUBSTITUTE($AA7," "&amp;$CR$433&amp;" "," ")," "&amp;$CR$431&amp;" "," ")," "&amp;$CR$2438&amp;" "," ")," "&amp;$CR$2439&amp;" "," ")," "&amp;$CR$428&amp;" "," ")," "&amp;$CR$432&amp;" "," ")," "&amp;$CR$434&amp;" "," ")," "&amp;$CR$429&amp;" "," ")," "&amp;$CR$427&amp;" "," ")," "&amp;$CR$1367&amp;" "," ")," "&amp;$CR$435&amp;" "," ")," "&amp;$CR$1366&amp;" "," ")," "&amp;$CR$430&amp;" "," ")),"")</f>
        <v xml:space="preserve"> biche ou kangourou </v>
      </c>
      <c r="AM7" s="581" t="str">
        <f>IF(7=7,IF($U7="","",IF(AJ7&gt;0,"X",IF(AK7&gt;0,"?",""))),"")</f>
        <v/>
      </c>
      <c r="AN7" s="581">
        <f>IF(7=7,IF($U7="","",SUMPRODUCT(--ISNUMBER(SEARCH(" "&amp;$CR$436:$CR$535&amp;" ",$AX7)))),"")</f>
        <v>0</v>
      </c>
      <c r="AO7" s="581">
        <f>IF(7=7,IF($U7="","",SUMPRODUCT(--ISNUMBER(SEARCH(" "&amp;$CR$536:$CR$635&amp;" ",$AX7)))),"")</f>
        <v>0</v>
      </c>
      <c r="AP7" s="581">
        <f>IF(7=7,IF($U7="","",SUMPRODUCT(--ISNUMBER(SEARCH(" "&amp;$CR$636:$CR$735&amp;" ",$AX7)))),"")</f>
        <v>0</v>
      </c>
      <c r="AQ7" s="581">
        <f>IF(7=7,IF($U7="","",SUMPRODUCT(--ISNUMBER(SEARCH(" "&amp;$CR$736:$CR$835&amp;" ",$AX7)))),"")</f>
        <v>0</v>
      </c>
      <c r="AR7" s="581">
        <f>IF(7=7,IF($U7="","",SUMPRODUCT(--ISNUMBER(SEARCH(" "&amp;$CR$836:$CR$935&amp;" ",$AX7)))),"")</f>
        <v>0</v>
      </c>
      <c r="AS7" s="581">
        <f>IF(7=7,IF($U7="","",SUMPRODUCT(--ISNUMBER(SEARCH(" "&amp;$CR$936:$CR$1035&amp;" ",$AX7)))),"")</f>
        <v>0</v>
      </c>
      <c r="AT7" s="581">
        <f>IF(7=7,IF($U7="","",SUMPRODUCT(--ISNUMBER(SEARCH(" "&amp;$CR$1036:$CR$1135&amp;" ",$AX7)))),"")</f>
        <v>0</v>
      </c>
      <c r="AU7" s="581">
        <f>IF(7=7,IF($U7="","",SUMPRODUCT(--ISNUMBER(SEARCH(" "&amp;$CR$1136:$CR$1235&amp;" ",$AX7)))),"")</f>
        <v>0</v>
      </c>
      <c r="AV7" s="581">
        <f>IF(7=7,IF($U7="","",SUMPRODUCT(--ISNUMBER(SEARCH(" "&amp;$CR$1236:$CR$1335&amp;" ",$AX7)))),"")</f>
        <v>0</v>
      </c>
      <c r="AW7" s="581">
        <f>IF(7=7,IF($U7="","",SUMPRODUCT(--ISNUMBER(SEARCH(" "&amp;$CR$1336:$CR$1363&amp;" ",$AX7)))),"")</f>
        <v>0</v>
      </c>
      <c r="AX7" s="581" t="str">
        <f>IF(7=7,IF($U7="","",SUBSTITUTE(SUBSTITUTE(SUBSTITUTE(SUBSTITUTE(SUBSTITUTE(SUBSTITUTE(SUBSTITUTE(SUBSTITUTE(SUBSTITUTE($AA7," "&amp;$CR$1365&amp;" "," ")," "&amp;$CR$1364&amp;" "," ")," "&amp;$CR$1370&amp;" "," ")," "&amp;$CR$1371&amp;" "," ")," "&amp;$CR$1367&amp;" "," ")," "&amp;$CR$1369&amp;" "," ")," "&amp;$CR$1366&amp;" "," ")," "&amp;$CR$1368&amp;" "," ")," "&amp;$CR$1372&amp;" "," ")),"")</f>
        <v xml:space="preserve"> biche ou kangourou </v>
      </c>
      <c r="AY7" s="581">
        <f>IF(7=7,IF($U7="","",SUMPRODUCT(--ISNUMBER(SEARCH(" "&amp;$CR$1373:$CR$1383&amp;" ",$AX7)))),"")</f>
        <v>0</v>
      </c>
      <c r="AZ7" s="581" t="str">
        <f>IF(7=7,IF($U7="","",IF(SUM(AN7:AW7)+SUMPRODUCT(--ISNUMBER(SEARCH(" "&amp;$CR$2421:$CR$2422&amp;" ",$AX7)))&gt;0,"X",IF(AY7&gt;0,"?",""))),"")</f>
        <v/>
      </c>
      <c r="BA7" s="581">
        <f>IF(7=7,IF($U7="","",SUMPRODUCT(--ISNUMBER(SEARCH(" "&amp;$CR$1384:$CR$1404&amp;" ",$AA7)))),"")</f>
        <v>0</v>
      </c>
      <c r="BB7" s="581" t="str">
        <f>IF(7=7,IF($U7="","",IF((BA7)-(0)&gt;0,"X",IF((0)-(0)&gt;0,"?",""))),"")</f>
        <v/>
      </c>
      <c r="BC7" s="581">
        <f>IF(7=7,IF($U7="","",SUMPRODUCT(--ISNUMBER(SEARCH(" "&amp;$CR$1405:$CR$1442&amp;" ",$BD7)))),"")</f>
        <v>0</v>
      </c>
      <c r="BD7" s="581" t="str">
        <f>IF(7=7,IF($U7="","",SUBSTITUTE(SUBSTITUTE($AA7," "&amp;$CR$1443&amp;" "," ")," "&amp;$CR$1444&amp;" "," ")),"")</f>
        <v xml:space="preserve"> biche ou kangourou </v>
      </c>
      <c r="BE7" s="581">
        <f>IF(7=7,IF($U7="","",SUMPRODUCT(--ISNUMBER(SEARCH(" "&amp;$CR$1445:$CR$1455&amp;" ",$BD7)))),"")</f>
        <v>0</v>
      </c>
      <c r="BF7" s="581" t="str">
        <f>IF(7=7,IF($U7="","",IF(BC7&gt;0,"X",IF(BE7&gt;0,"?",""))),"")</f>
        <v/>
      </c>
      <c r="BG7" s="581">
        <f>IF(7=7,IF($U7="","",SUMPRODUCT(--ISNUMBER(SEARCH(" "&amp;$CR$1456:$CR$1555&amp;" ",$BJ7)))),"")</f>
        <v>0</v>
      </c>
      <c r="BH7" s="581">
        <f>IF(7=7,IF($U7="","",SUMPRODUCT(--ISNUMBER(SEARCH(" "&amp;$CR$1556:$CR$1655&amp;" ",$BJ7)))),"")</f>
        <v>0</v>
      </c>
      <c r="BI7" s="581">
        <f>IF(7=7,IF($U7="","",SUMPRODUCT(--ISNUMBER(SEARCH(" "&amp;$CR$1656:$CR$1739&amp;" ",$BJ7)))),"")</f>
        <v>0</v>
      </c>
      <c r="BJ7" s="581"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biche ou kangourou </v>
      </c>
      <c r="BK7" s="581">
        <f>IF(7=7,IF($U7="","",SUMPRODUCT(--ISNUMBER(SEARCH(" "&amp;$CR$1790:$CR$1869&amp;" ",$BL7)))+SUMPRODUCT(--ISNUMBER(SEARCH(" "&amp;$CR$2440:$CR$2453&amp;" ",$BL7)))),"")</f>
        <v>0</v>
      </c>
      <c r="BL7" s="581"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biche ou kangourou </v>
      </c>
      <c r="BM7" s="581" t="str">
        <f>IF(7=7,IF($U7="","",IF(SUM(BG7:BI7)+SUMPRODUCT(--ISNUMBER(SEARCH(" "&amp;$CR$2423:$CR$2424&amp;" ",$BJ7)))&gt;0,"X",IF(BK7&gt;0,"?",""))),"")</f>
        <v/>
      </c>
      <c r="BN7" s="581">
        <f>IF(7=7,IF($U7="","",SUMPRODUCT(--ISNUMBER(SEARCH(" "&amp;$CR$1879:$CR$1936&amp;" ",$BO7)))),"")</f>
        <v>0</v>
      </c>
      <c r="BO7" s="581"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biche ou kangourou </v>
      </c>
      <c r="BP7" s="581">
        <f>IF(7=7,IF($U7="","",SUMPRODUCT(--ISNUMBER(SEARCH(" "&amp;$CR$1960:$CR$1976&amp;" ",$BO7)))),"")</f>
        <v>0</v>
      </c>
      <c r="BQ7" s="581" t="str">
        <f>IF(7=7,IF($U7="","",IF(BN7&gt;0,"X",IF(BP7&gt;0,"?",""))),"")</f>
        <v/>
      </c>
      <c r="BR7" s="581">
        <f>IF(7=7,IF($U7="","",SUMPRODUCT(--ISNUMBER(SEARCH(" "&amp;$CR$1977:$CR$1990&amp;" ",$AA7)))),"")</f>
        <v>0</v>
      </c>
      <c r="BS7" s="581">
        <f>IF(7=7,IF($U7="","",SUMPRODUCT(--ISNUMBER(SEARCH(" "&amp;$CR$1991:$CR$2005&amp;" ",$AA7)))),"")</f>
        <v>0</v>
      </c>
      <c r="BT7" s="581" t="str">
        <f>IF(7=7,IF($U7="","",IF((BR7)-(0)&gt;0,"X",IF((BS7)-(0)&gt;0,"?",""))),"")</f>
        <v/>
      </c>
      <c r="BU7" s="581">
        <f>IF(7=7,IF($U7="","",SUMPRODUCT(--ISNUMBER(SEARCH(" "&amp;$CR$2006:$CR$2023&amp;" ",$AA7)))),"")</f>
        <v>0</v>
      </c>
      <c r="BV7" s="581">
        <f>IF(7=7,IF($U7="","",SUMPRODUCT(--ISNUMBER(SEARCH(" "&amp;$CR$2024:$CR$2038&amp;" ",$AA7)))),"")</f>
        <v>0</v>
      </c>
      <c r="BW7" s="581" t="str">
        <f>IF(7=7,IF($U7="","",IF((BU7)-(0)&gt;0,"X",IF((BV7)-(0)&gt;0,"?",""))),"")</f>
        <v/>
      </c>
      <c r="BX7" s="581">
        <f>IF(7=7,IF($U7="","",SUMPRODUCT(--ISNUMBER(SEARCH(" "&amp;$CR$2039:$CR$2057&amp;" ",$AA7)))),"")</f>
        <v>0</v>
      </c>
      <c r="BY7" s="581">
        <f>IF(7=7,IF($U7="","",SUMPRODUCT(--ISNUMBER(SEARCH(" "&amp;$CR$2058:$CR$2072&amp;" ",$AA7)))),"")</f>
        <v>0</v>
      </c>
      <c r="BZ7" s="581" t="str">
        <f>IF(7=7,IF($U7="","",IF((BX7)-(0)&gt;0,"X",IF((BY7)-(0)&gt;0,"?",""))),"")</f>
        <v/>
      </c>
      <c r="CA7" s="581">
        <f>IF(7=7,IF($U7="","",SUMPRODUCT(--ISNUMBER(SEARCH(" "&amp;$CR$2073:$CR$2093&amp;" ",$AA7)))),"")</f>
        <v>0</v>
      </c>
      <c r="CB7" s="581">
        <f>IF(7=7,IF($U7="","",SUMPRODUCT(--ISNUMBER(SEARCH(" "&amp;$CR$2094:$CR$2133&amp;" ",SUBSTITUTE(SUBSTITUTE($AA7," "&amp;$CR$1367&amp;" "," ")," "&amp;$CR$1366&amp;" "," "))))+--ISNUMBER(SEARCH("poiré",$V7))),"")</f>
        <v>0</v>
      </c>
      <c r="CC7" s="581" t="str">
        <f>IF(7=7,IF($U7="","",IF(OR(CA7&gt;0,ISNUMBER(SEARCH(" vinaigre de vin ",$AA7)),ISNUMBER(SEARCH(" vinaigre au vin ",$AA7))),"X",IF(CB7&gt;0,"?",""))),"")</f>
        <v/>
      </c>
      <c r="CD7" s="581">
        <f>IF(7=7,IF($U7="","",SUMPRODUCT(--ISNUMBER(SEARCH(" "&amp;$CR$2134:$CR$2146&amp;" ",$AA7)))),"")</f>
        <v>0</v>
      </c>
      <c r="CE7" s="581">
        <f>IF(7=7,IF($U7="","",SUMPRODUCT(--ISNUMBER(SEARCH(" "&amp;$CR$2147:$CR$2152&amp;" ",$AA7)))),"")</f>
        <v>0</v>
      </c>
      <c r="CF7" s="581" t="str">
        <f>IF(7=7,IF($U7="","",IF((CD7)-(0)&gt;0,"X",IF((CE7)-(0)&gt;0,"?",""))),"")</f>
        <v/>
      </c>
      <c r="CG7" s="581">
        <f>IF(7=7,IF($U7="","",SUMPRODUCT(--ISNUMBER(SEARCH(" "&amp;$CR$2153:$CR$2252&amp;" ",$CJ7)))),"")</f>
        <v>0</v>
      </c>
      <c r="CH7" s="581">
        <f>IF(7=7,IF($U7="","",SUMPRODUCT(--ISNUMBER(SEARCH(" "&amp;$CR$2253:$CR$2352&amp;" ",$CJ7)))),"")</f>
        <v>0</v>
      </c>
      <c r="CI7" s="581">
        <f>IF(7=7,IF($U7="","",SUMPRODUCT(--ISNUMBER(SEARCH(" "&amp;$CR$2353:$CR$2395&amp;" ",$CJ7)))),"")</f>
        <v>0</v>
      </c>
      <c r="CJ7" s="581"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biche ou kangourou </v>
      </c>
      <c r="CK7" s="581">
        <f>IF(7=7,IF($U7="","",SUMPRODUCT(--ISNUMBER(SEARCH(" "&amp;$CR$2412:$CR$2416&amp;" ",$CJ7)))),"")</f>
        <v>0</v>
      </c>
      <c r="CL7" s="581" t="str">
        <f>IF(7=7,IF($U7="","",IF(SUM(CG7:CI7)&gt;0,"X",IF(CK7&gt;0,"?",""))),"")</f>
        <v/>
      </c>
      <c r="CM7" s="582"/>
      <c r="CN7" s="584" t="s">
        <v>1982</v>
      </c>
      <c r="CO7" s="584" t="s">
        <v>1887</v>
      </c>
      <c r="CP7" s="584" t="s">
        <v>1888</v>
      </c>
      <c r="CQ7" s="584" t="s">
        <v>1983</v>
      </c>
      <c r="CR7" s="584" t="s">
        <v>1984</v>
      </c>
      <c r="CS7" s="584" t="s">
        <v>1890</v>
      </c>
      <c r="CT7" s="584" t="s">
        <v>1891</v>
      </c>
      <c r="CU7" s="584" t="s">
        <v>1892</v>
      </c>
      <c r="CV7" s="585" t="s">
        <v>1893</v>
      </c>
    </row>
    <row r="8" spans="1:101" ht="21.95" customHeight="1" x14ac:dyDescent="0.25">
      <c r="A8" s="597">
        <v>2</v>
      </c>
      <c r="B8" s="598" t="s">
        <v>1985</v>
      </c>
      <c r="C8" s="599" t="str">
        <f t="shared" si="0"/>
        <v>Carottes en rondelles surgelées</v>
      </c>
      <c r="D8" s="600"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601" t="str">
        <f>IF(8=8,IF($B8="","",AF8),"")</f>
        <v/>
      </c>
      <c r="F8" s="601" t="str">
        <f>IF(8=8,IF($B8="","",AI8),"")</f>
        <v/>
      </c>
      <c r="G8" s="601" t="str">
        <f>IF(8=8,IF($B8="","",AM8),"")</f>
        <v/>
      </c>
      <c r="H8" s="601" t="str">
        <f>IF(8=8,IF($B8="","",AZ8),"")</f>
        <v/>
      </c>
      <c r="I8" s="601" t="str">
        <f>IF(8=8,IF($B8="","",BB8),"")</f>
        <v/>
      </c>
      <c r="J8" s="601" t="str">
        <f>IF(8=8,IF($B8="","",BF8),"")</f>
        <v/>
      </c>
      <c r="K8" s="601" t="str">
        <f>IF(8=8,IF($B8="","",BM8),"")</f>
        <v/>
      </c>
      <c r="L8" s="601" t="str">
        <f>IF(8=8,IF($B8="","",BQ8),"")</f>
        <v/>
      </c>
      <c r="M8" s="601" t="str">
        <f>IF(8=8,IF($B8="","",BT8),"")</f>
        <v/>
      </c>
      <c r="N8" s="601" t="str">
        <f>IF(8=8,IF($B8="","",BW8),"")</f>
        <v/>
      </c>
      <c r="O8" s="601" t="str">
        <f>IF(8=8,IF($B8="","",BZ8),"")</f>
        <v/>
      </c>
      <c r="P8" s="601" t="str">
        <f>IF(8=8,IF($B8="","",CC8),"")</f>
        <v/>
      </c>
      <c r="Q8" s="601" t="str">
        <f>IF(8=8,IF($B8="","",CF8),"")</f>
        <v/>
      </c>
      <c r="R8" s="601" t="str">
        <f>IF(8=8,IF($B8="","",CL8),"")</f>
        <v/>
      </c>
      <c r="S8" s="602"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581" t="str">
        <f>IF(8=8,IF($B8="","",$B8),"")</f>
        <v>Carottes en rondelles surgelées</v>
      </c>
      <c r="V8" s="581" t="str">
        <f>IF(8=8,LOWER(CLEAN(SUBSTITUTE(SUBSTITUTE(SUBSTITUTE(SUBSTITUTE($U8,CHAR(160)," ")," "," "),CHAR(10)," "),CHAR(13)," "))),"")</f>
        <v>carottes en rondelles surgelées</v>
      </c>
      <c r="W8" s="581" t="str">
        <f>IF(8=8,SUBSTITUTE(SUBSTITUTE(SUBSTITUTE(SUBSTITUTE(SUBSTITUTE(SUBSTITUTE(SUBSTITUTE(SUBSTITUTE(SUBSTITUTE(SUBSTITUTE(SUBSTITUTE(SUBSTITUTE($V8,"œ","oe"),"æ","ae"),"à","a"),"á","a"),"â","a"),"ä","a"),"ã","a"),"ç","c"),"è","e"),"é","e"),"ê","e"),"ë","e"),"")</f>
        <v>carottes en rondelles surgelees</v>
      </c>
      <c r="X8" s="581" t="str">
        <f>IF(8=8,SUBSTITUTE(SUBSTITUTE(SUBSTITUTE(SUBSTITUTE(SUBSTITUTE(SUBSTITUTE(SUBSTITUTE(SUBSTITUTE(SUBSTITUTE(SUBSTITUTE(SUBSTITUTE(SUBSTITUTE(SUBSTITUTE(SUBSTITUTE(SUBSTITUTE(SUBSTITUTE($W8,"ì","i"),"í","i"),"î","i"),"ï","i"),"ñ","n"),"ò","o"),"ó","o"),"ô","o"),"ö","o"),"õ","o"),"ù","u"),"ú","u"),"û","u"),"ü","u"),"ý","y"),"ÿ","y"),"")</f>
        <v>carottes en rondelles surgelees</v>
      </c>
      <c r="Y8" s="581" t="str">
        <f>IF(8=8,SUBSTITUTE(SUBSTITUTE(SUBSTITUTE(SUBSTITUTE(SUBSTITUTE(SUBSTITUTE(SUBSTITUTE(SUBSTITUTE(SUBSTITUTE(SUBSTITUTE(SUBSTITUTE(SUBSTITUTE(SUBSTITUTE(SUBSTITUTE($X8,"’"," "),"`"," "),"–"," "),"—"," "),"-"," "),"'"," "),"/"," "),"_"," "),","," "),"."," "),"("," "),")"," "),";"," "),":"," "),"")</f>
        <v>carottes en rondelles surgelees</v>
      </c>
      <c r="Z8" s="581" t="str">
        <f>IF(8=8,SUBSTITUTE(SUBSTITUTE(SUBSTITUTE(SUBSTITUTE(SUBSTITUTE(SUBSTITUTE(SUBSTITUTE(SUBSTITUTE(SUBSTITUTE(SUBSTITUTE(SUBSTITUTE(SUBSTITUTE(SUBSTITUTE(SUBSTITUTE(SUBSTITUTE($Y8,"!"," "),"?"," "),"+"," "),"*"," "),"&amp;"," "),"["," "),"]"," "),"{"," "),"}"," "),"%"," "),"="," "),"\"," "),"|"," "),"&lt;"," "),"&gt;"," "),"")</f>
        <v>carottes en rondelles surgelees</v>
      </c>
      <c r="AA8" s="581" t="str">
        <f>IF(8=8," "&amp;TRIM(SUBSTITUTE(SUBSTITUTE(SUBSTITUTE(SUBSTITUTE(SUBSTITUTE(SUBSTITUTE($Z8,CHAR(34)," "),"  "," "),"  "," "),"  "," "),"  "," "),"  "," "))&amp;" ","")</f>
        <v xml:space="preserve"> carottes en rondelles surgelees </v>
      </c>
      <c r="AB8" s="581">
        <f>IF(8=8,IF($U8="","",SUMPRODUCT(--ISNUMBER(SEARCH(" "&amp;$CR$2:$CR$101&amp;" ",$AD8)))),"")</f>
        <v>0</v>
      </c>
      <c r="AC8" s="581">
        <f>IF(8=8,IF($U8="","",SUMPRODUCT(--ISNUMBER(SEARCH(" "&amp;$CR$102:$CR$151&amp;" ",$AD8)))),"")</f>
        <v>0</v>
      </c>
      <c r="AD8" s="581" t="e">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8" s="581">
        <f>IF(8=8,IF($U8="","",SUMPRODUCT(--ISNUMBER(SEARCH(" "&amp;$CR$184:$CR$205&amp;" ",$AD8)))),"")</f>
        <v>0</v>
      </c>
      <c r="AF8" s="581" t="str">
        <f>IF(8=8,IF($U8="","",IF(SUM(AB8:AC8)+SUMPRODUCT(--ISNUMBER(SEARCH(" "&amp;$CR$2418:$CR$2420&amp;" ",$AD8)))&gt;0,"X",IF(AE8&gt;0,"?",""))),"")</f>
        <v/>
      </c>
      <c r="AG8" s="581">
        <f>IF(8=8,IF($U8="","",SUMPRODUCT(--ISNUMBER(SEARCH(" "&amp;$CR$206:$CR$305&amp;" ",$AA8)))),"")</f>
        <v>0</v>
      </c>
      <c r="AH8" s="581">
        <f>IF(8=8,IF($U8="","",SUMPRODUCT(--ISNUMBER(SEARCH(" "&amp;$CR$306:$CR$340&amp;" ",$AA8)))),"")</f>
        <v>0</v>
      </c>
      <c r="AI8" s="581" t="str">
        <f>IF(8=8,IF($U8="","",IF((SUM(AG8:AH8))-(0)&gt;0,"X",IF((0)-(0)&gt;0,"?",""))),"")</f>
        <v/>
      </c>
      <c r="AJ8" s="581">
        <f>IF(8=8,IF($U8="","",SUMPRODUCT(--ISNUMBER(SEARCH(" "&amp;$CR$341:$CR$398&amp;" ",$AA8)))),"")</f>
        <v>0</v>
      </c>
      <c r="AK8" s="581">
        <f>IF(8=8,IF($U8="","",SUMPRODUCT(--ISNUMBER(SEARCH(" "&amp;$CR$399:$CR$426&amp;" ",$AL8)))+SUMPRODUCT(--ISNUMBER(SEARCH(" "&amp;$CR$2440:$CR$2453&amp;" ",$AL8)))),"")</f>
        <v>0</v>
      </c>
      <c r="AL8" s="581" t="str">
        <f>IF(8=8,IF($U8="","",SUBSTITUTE(SUBSTITUTE(SUBSTITUTE(SUBSTITUTE(SUBSTITUTE(SUBSTITUTE(SUBSTITUTE(SUBSTITUTE(SUBSTITUTE(SUBSTITUTE(SUBSTITUTE(SUBSTITUTE(SUBSTITUTE($AA8," "&amp;$CR$433&amp;" "," ")," "&amp;$CR$431&amp;" "," ")," "&amp;$CR$2438&amp;" "," ")," "&amp;$CR$2439&amp;" "," ")," "&amp;$CR$428&amp;" "," ")," "&amp;$CR$432&amp;" "," ")," "&amp;$CR$434&amp;" "," ")," "&amp;$CR$429&amp;" "," ")," "&amp;$CR$427&amp;" "," ")," "&amp;$CR$1367&amp;" "," ")," "&amp;$CR$435&amp;" "," ")," "&amp;$CR$1366&amp;" "," ")," "&amp;$CR$430&amp;" "," ")),"")</f>
        <v xml:space="preserve"> carottes en rondelles surgelees </v>
      </c>
      <c r="AM8" s="581" t="str">
        <f>IF(8=8,IF($U8="","",IF(AJ8&gt;0,"X",IF(AK8&gt;0,"?",""))),"")</f>
        <v/>
      </c>
      <c r="AN8" s="581">
        <f>IF(8=8,IF($U8="","",SUMPRODUCT(--ISNUMBER(SEARCH(" "&amp;$CR$436:$CR$535&amp;" ",$AX8)))),"")</f>
        <v>0</v>
      </c>
      <c r="AO8" s="581">
        <f>IF(8=8,IF($U8="","",SUMPRODUCT(--ISNUMBER(SEARCH(" "&amp;$CR$536:$CR$635&amp;" ",$AX8)))),"")</f>
        <v>0</v>
      </c>
      <c r="AP8" s="581">
        <f>IF(8=8,IF($U8="","",SUMPRODUCT(--ISNUMBER(SEARCH(" "&amp;$CR$636:$CR$735&amp;" ",$AX8)))),"")</f>
        <v>0</v>
      </c>
      <c r="AQ8" s="581">
        <f>IF(8=8,IF($U8="","",SUMPRODUCT(--ISNUMBER(SEARCH(" "&amp;$CR$736:$CR$835&amp;" ",$AX8)))),"")</f>
        <v>0</v>
      </c>
      <c r="AR8" s="581">
        <f>IF(8=8,IF($U8="","",SUMPRODUCT(--ISNUMBER(SEARCH(" "&amp;$CR$836:$CR$935&amp;" ",$AX8)))),"")</f>
        <v>0</v>
      </c>
      <c r="AS8" s="581">
        <f>IF(8=8,IF($U8="","",SUMPRODUCT(--ISNUMBER(SEARCH(" "&amp;$CR$936:$CR$1035&amp;" ",$AX8)))),"")</f>
        <v>0</v>
      </c>
      <c r="AT8" s="581">
        <f>IF(8=8,IF($U8="","",SUMPRODUCT(--ISNUMBER(SEARCH(" "&amp;$CR$1036:$CR$1135&amp;" ",$AX8)))),"")</f>
        <v>0</v>
      </c>
      <c r="AU8" s="581">
        <f>IF(8=8,IF($U8="","",SUMPRODUCT(--ISNUMBER(SEARCH(" "&amp;$CR$1136:$CR$1235&amp;" ",$AX8)))),"")</f>
        <v>0</v>
      </c>
      <c r="AV8" s="581">
        <f>IF(8=8,IF($U8="","",SUMPRODUCT(--ISNUMBER(SEARCH(" "&amp;$CR$1236:$CR$1335&amp;" ",$AX8)))),"")</f>
        <v>0</v>
      </c>
      <c r="AW8" s="581">
        <f>IF(8=8,IF($U8="","",SUMPRODUCT(--ISNUMBER(SEARCH(" "&amp;$CR$1336:$CR$1363&amp;" ",$AX8)))),"")</f>
        <v>0</v>
      </c>
      <c r="AX8" s="581" t="str">
        <f>IF(8=8,IF($U8="","",SUBSTITUTE(SUBSTITUTE(SUBSTITUTE(SUBSTITUTE(SUBSTITUTE(SUBSTITUTE(SUBSTITUTE(SUBSTITUTE(SUBSTITUTE($AA8," "&amp;$CR$1365&amp;" "," ")," "&amp;$CR$1364&amp;" "," ")," "&amp;$CR$1370&amp;" "," ")," "&amp;$CR$1371&amp;" "," ")," "&amp;$CR$1367&amp;" "," ")," "&amp;$CR$1369&amp;" "," ")," "&amp;$CR$1366&amp;" "," ")," "&amp;$CR$1368&amp;" "," ")," "&amp;$CR$1372&amp;" "," ")),"")</f>
        <v xml:space="preserve"> carottes en rondelles surgelees </v>
      </c>
      <c r="AY8" s="581">
        <f>IF(8=8,IF($U8="","",SUMPRODUCT(--ISNUMBER(SEARCH(" "&amp;$CR$1373:$CR$1383&amp;" ",$AX8)))),"")</f>
        <v>0</v>
      </c>
      <c r="AZ8" s="581" t="str">
        <f>IF(8=8,IF($U8="","",IF(SUM(AN8:AW8)+SUMPRODUCT(--ISNUMBER(SEARCH(" "&amp;$CR$2421:$CR$2422&amp;" ",$AX8)))&gt;0,"X",IF(AY8&gt;0,"?",""))),"")</f>
        <v/>
      </c>
      <c r="BA8" s="581">
        <f>IF(8=8,IF($U8="","",SUMPRODUCT(--ISNUMBER(SEARCH(" "&amp;$CR$1384:$CR$1404&amp;" ",$AA8)))),"")</f>
        <v>0</v>
      </c>
      <c r="BB8" s="581" t="str">
        <f>IF(8=8,IF($U8="","",IF((BA8)-(0)&gt;0,"X",IF((0)-(0)&gt;0,"?",""))),"")</f>
        <v/>
      </c>
      <c r="BC8" s="581">
        <f>IF(8=8,IF($U8="","",SUMPRODUCT(--ISNUMBER(SEARCH(" "&amp;$CR$1405:$CR$1442&amp;" ",$BD8)))),"")</f>
        <v>0</v>
      </c>
      <c r="BD8" s="581" t="str">
        <f>IF(8=8,IF($U8="","",SUBSTITUTE(SUBSTITUTE($AA8," "&amp;$CR$1443&amp;" "," ")," "&amp;$CR$1444&amp;" "," ")),"")</f>
        <v xml:space="preserve"> carottes en rondelles surgelees </v>
      </c>
      <c r="BE8" s="581">
        <f>IF(8=8,IF($U8="","",SUMPRODUCT(--ISNUMBER(SEARCH(" "&amp;$CR$1445:$CR$1455&amp;" ",$BD8)))),"")</f>
        <v>0</v>
      </c>
      <c r="BF8" s="581" t="str">
        <f>IF(8=8,IF($U8="","",IF(BC8&gt;0,"X",IF(BE8&gt;0,"?",""))),"")</f>
        <v/>
      </c>
      <c r="BG8" s="581">
        <f>IF(8=8,IF($U8="","",SUMPRODUCT(--ISNUMBER(SEARCH(" "&amp;$CR$1456:$CR$1555&amp;" ",$BJ8)))),"")</f>
        <v>0</v>
      </c>
      <c r="BH8" s="581">
        <f>IF(8=8,IF($U8="","",SUMPRODUCT(--ISNUMBER(SEARCH(" "&amp;$CR$1556:$CR$1655&amp;" ",$BJ8)))),"")</f>
        <v>0</v>
      </c>
      <c r="BI8" s="581">
        <f>IF(8=8,IF($U8="","",SUMPRODUCT(--ISNUMBER(SEARCH(" "&amp;$CR$1656:$CR$1739&amp;" ",$BJ8)))),"")</f>
        <v>0</v>
      </c>
      <c r="BJ8" s="581"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en rondelles surgelees </v>
      </c>
      <c r="BK8" s="581">
        <f>IF(8=8,IF($U8="","",SUMPRODUCT(--ISNUMBER(SEARCH(" "&amp;$CR$1790:$CR$1869&amp;" ",$BL8)))+SUMPRODUCT(--ISNUMBER(SEARCH(" "&amp;$CR$2440:$CR$2453&amp;" ",$BL8)))),"")</f>
        <v>0</v>
      </c>
      <c r="BL8" s="581"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carottes en rondelles surgelees </v>
      </c>
      <c r="BM8" s="581" t="str">
        <f>IF(8=8,IF($U8="","",IF(SUM(BG8:BI8)+SUMPRODUCT(--ISNUMBER(SEARCH(" "&amp;$CR$2423:$CR$2424&amp;" ",$BJ8)))&gt;0,"X",IF(BK8&gt;0,"?",""))),"")</f>
        <v/>
      </c>
      <c r="BN8" s="581">
        <f>IF(8=8,IF($U8="","",SUMPRODUCT(--ISNUMBER(SEARCH(" "&amp;$CR$1879:$CR$1936&amp;" ",$BO8)))),"")</f>
        <v>0</v>
      </c>
      <c r="BO8" s="581"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en rondelles surgelees </v>
      </c>
      <c r="BP8" s="581">
        <f>IF(8=8,IF($U8="","",SUMPRODUCT(--ISNUMBER(SEARCH(" "&amp;$CR$1960:$CR$1976&amp;" ",$BO8)))),"")</f>
        <v>0</v>
      </c>
      <c r="BQ8" s="581" t="str">
        <f>IF(8=8,IF($U8="","",IF(BN8&gt;0,"X",IF(BP8&gt;0,"?",""))),"")</f>
        <v/>
      </c>
      <c r="BR8" s="581">
        <f>IF(8=8,IF($U8="","",SUMPRODUCT(--ISNUMBER(SEARCH(" "&amp;$CR$1977:$CR$1990&amp;" ",$AA8)))),"")</f>
        <v>0</v>
      </c>
      <c r="BS8" s="581">
        <f>IF(8=8,IF($U8="","",SUMPRODUCT(--ISNUMBER(SEARCH(" "&amp;$CR$1991:$CR$2005&amp;" ",$AA8)))),"")</f>
        <v>0</v>
      </c>
      <c r="BT8" s="581" t="str">
        <f>IF(8=8,IF($U8="","",IF((BR8)-(0)&gt;0,"X",IF((BS8)-(0)&gt;0,"?",""))),"")</f>
        <v/>
      </c>
      <c r="BU8" s="581">
        <f>IF(8=8,IF($U8="","",SUMPRODUCT(--ISNUMBER(SEARCH(" "&amp;$CR$2006:$CR$2023&amp;" ",$AA8)))),"")</f>
        <v>0</v>
      </c>
      <c r="BV8" s="581">
        <f>IF(8=8,IF($U8="","",SUMPRODUCT(--ISNUMBER(SEARCH(" "&amp;$CR$2024:$CR$2038&amp;" ",$AA8)))),"")</f>
        <v>0</v>
      </c>
      <c r="BW8" s="581" t="str">
        <f>IF(8=8,IF($U8="","",IF((BU8)-(0)&gt;0,"X",IF((BV8)-(0)&gt;0,"?",""))),"")</f>
        <v/>
      </c>
      <c r="BX8" s="581">
        <f>IF(8=8,IF($U8="","",SUMPRODUCT(--ISNUMBER(SEARCH(" "&amp;$CR$2039:$CR$2057&amp;" ",$AA8)))),"")</f>
        <v>0</v>
      </c>
      <c r="BY8" s="581">
        <f>IF(8=8,IF($U8="","",SUMPRODUCT(--ISNUMBER(SEARCH(" "&amp;$CR$2058:$CR$2072&amp;" ",$AA8)))),"")</f>
        <v>0</v>
      </c>
      <c r="BZ8" s="581" t="str">
        <f>IF(8=8,IF($U8="","",IF((BX8)-(0)&gt;0,"X",IF((BY8)-(0)&gt;0,"?",""))),"")</f>
        <v/>
      </c>
      <c r="CA8" s="581">
        <f>IF(8=8,IF($U8="","",SUMPRODUCT(--ISNUMBER(SEARCH(" "&amp;$CR$2073:$CR$2093&amp;" ",$AA8)))),"")</f>
        <v>0</v>
      </c>
      <c r="CB8" s="581">
        <f>IF(8=8,IF($U8="","",SUMPRODUCT(--ISNUMBER(SEARCH(" "&amp;$CR$2094:$CR$2133&amp;" ",SUBSTITUTE(SUBSTITUTE($AA8," "&amp;$CR$1367&amp;" "," ")," "&amp;$CR$1366&amp;" "," "))))+--ISNUMBER(SEARCH("poiré",$V8))),"")</f>
        <v>0</v>
      </c>
      <c r="CC8" s="581" t="str">
        <f>IF(8=8,IF($U8="","",IF(OR(CA8&gt;0,ISNUMBER(SEARCH(" vinaigre de vin ",$AA8)),ISNUMBER(SEARCH(" vinaigre au vin ",$AA8))),"X",IF(CB8&gt;0,"?",""))),"")</f>
        <v/>
      </c>
      <c r="CD8" s="581">
        <f>IF(8=8,IF($U8="","",SUMPRODUCT(--ISNUMBER(SEARCH(" "&amp;$CR$2134:$CR$2146&amp;" ",$AA8)))),"")</f>
        <v>0</v>
      </c>
      <c r="CE8" s="581">
        <f>IF(8=8,IF($U8="","",SUMPRODUCT(--ISNUMBER(SEARCH(" "&amp;$CR$2147:$CR$2152&amp;" ",$AA8)))),"")</f>
        <v>0</v>
      </c>
      <c r="CF8" s="581" t="str">
        <f>IF(8=8,IF($U8="","",IF((CD8)-(0)&gt;0,"X",IF((CE8)-(0)&gt;0,"?",""))),"")</f>
        <v/>
      </c>
      <c r="CG8" s="581">
        <f>IF(8=8,IF($U8="","",SUMPRODUCT(--ISNUMBER(SEARCH(" "&amp;$CR$2153:$CR$2252&amp;" ",$CJ8)))),"")</f>
        <v>0</v>
      </c>
      <c r="CH8" s="581">
        <f>IF(8=8,IF($U8="","",SUMPRODUCT(--ISNUMBER(SEARCH(" "&amp;$CR$2253:$CR$2352&amp;" ",$CJ8)))),"")</f>
        <v>0</v>
      </c>
      <c r="CI8" s="581">
        <f>IF(8=8,IF($U8="","",SUMPRODUCT(--ISNUMBER(SEARCH(" "&amp;$CR$2353:$CR$2395&amp;" ",$CJ8)))),"")</f>
        <v>0</v>
      </c>
      <c r="CJ8" s="581"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carottes en rondelles surgelees </v>
      </c>
      <c r="CK8" s="581">
        <f>IF(8=8,IF($U8="","",SUMPRODUCT(--ISNUMBER(SEARCH(" "&amp;$CR$2412:$CR$2416&amp;" ",$CJ8)))),"")</f>
        <v>0</v>
      </c>
      <c r="CL8" s="581" t="str">
        <f>IF(8=8,IF($U8="","",IF(SUM(CG8:CI8)&gt;0,"X",IF(CK8&gt;0,"?",""))),"")</f>
        <v/>
      </c>
      <c r="CM8" s="582"/>
      <c r="CN8" s="584" t="s">
        <v>1986</v>
      </c>
      <c r="CO8" s="584" t="s">
        <v>1887</v>
      </c>
      <c r="CP8" s="584" t="s">
        <v>1888</v>
      </c>
      <c r="CQ8" s="584" t="s">
        <v>1987</v>
      </c>
      <c r="CR8" s="584" t="s">
        <v>1988</v>
      </c>
      <c r="CS8" s="584" t="s">
        <v>1890</v>
      </c>
      <c r="CT8" s="584" t="s">
        <v>1891</v>
      </c>
      <c r="CU8" s="584" t="s">
        <v>1892</v>
      </c>
      <c r="CV8" s="585" t="s">
        <v>1893</v>
      </c>
    </row>
    <row r="9" spans="1:101" ht="21.95" customHeight="1" x14ac:dyDescent="0.25">
      <c r="A9" s="597">
        <v>3</v>
      </c>
      <c r="B9" s="598" t="s">
        <v>1989</v>
      </c>
      <c r="C9" s="599" t="str">
        <f t="shared" si="0"/>
        <v>Oignons émincés surgelés</v>
      </c>
      <c r="D9" s="600"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601" t="str">
        <f>IF(9=9,IF($B9="","",AF9),"")</f>
        <v/>
      </c>
      <c r="F9" s="601" t="str">
        <f>IF(9=9,IF($B9="","",AI9),"")</f>
        <v/>
      </c>
      <c r="G9" s="601" t="str">
        <f>IF(9=9,IF($B9="","",AM9),"")</f>
        <v/>
      </c>
      <c r="H9" s="601" t="str">
        <f>IF(9=9,IF($B9="","",AZ9),"")</f>
        <v/>
      </c>
      <c r="I9" s="601" t="str">
        <f>IF(9=9,IF($B9="","",BB9),"")</f>
        <v/>
      </c>
      <c r="J9" s="601" t="str">
        <f>IF(9=9,IF($B9="","",BF9),"")</f>
        <v/>
      </c>
      <c r="K9" s="601" t="str">
        <f>IF(9=9,IF($B9="","",BM9),"")</f>
        <v/>
      </c>
      <c r="L9" s="601" t="str">
        <f>IF(9=9,IF($B9="","",BQ9),"")</f>
        <v/>
      </c>
      <c r="M9" s="601" t="str">
        <f>IF(9=9,IF($B9="","",BT9),"")</f>
        <v/>
      </c>
      <c r="N9" s="601" t="str">
        <f>IF(9=9,IF($B9="","",BW9),"")</f>
        <v/>
      </c>
      <c r="O9" s="601" t="str">
        <f>IF(9=9,IF($B9="","",BZ9),"")</f>
        <v/>
      </c>
      <c r="P9" s="601" t="str">
        <f>IF(9=9,IF($B9="","",CC9),"")</f>
        <v/>
      </c>
      <c r="Q9" s="601" t="str">
        <f>IF(9=9,IF($B9="","",CF9),"")</f>
        <v/>
      </c>
      <c r="R9" s="601" t="str">
        <f>IF(9=9,IF($B9="","",CL9),"")</f>
        <v/>
      </c>
      <c r="S9" s="602"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581" t="str">
        <f>IF(9=9,IF($B9="","",$B9),"")</f>
        <v>Oignons émincés surgelés</v>
      </c>
      <c r="V9" s="581" t="str">
        <f>IF(9=9,LOWER(CLEAN(SUBSTITUTE(SUBSTITUTE(SUBSTITUTE(SUBSTITUTE($U9,CHAR(160)," ")," "," "),CHAR(10)," "),CHAR(13)," "))),"")</f>
        <v>oignons émincés surgelés</v>
      </c>
      <c r="W9" s="581" t="str">
        <f>IF(9=9,SUBSTITUTE(SUBSTITUTE(SUBSTITUTE(SUBSTITUTE(SUBSTITUTE(SUBSTITUTE(SUBSTITUTE(SUBSTITUTE(SUBSTITUTE(SUBSTITUTE(SUBSTITUTE(SUBSTITUTE($V9,"œ","oe"),"æ","ae"),"à","a"),"á","a"),"â","a"),"ä","a"),"ã","a"),"ç","c"),"è","e"),"é","e"),"ê","e"),"ë","e"),"")</f>
        <v>oignons eminces surgeles</v>
      </c>
      <c r="X9" s="581" t="str">
        <f>IF(9=9,SUBSTITUTE(SUBSTITUTE(SUBSTITUTE(SUBSTITUTE(SUBSTITUTE(SUBSTITUTE(SUBSTITUTE(SUBSTITUTE(SUBSTITUTE(SUBSTITUTE(SUBSTITUTE(SUBSTITUTE(SUBSTITUTE(SUBSTITUTE(SUBSTITUTE(SUBSTITUTE($W9,"ì","i"),"í","i"),"î","i"),"ï","i"),"ñ","n"),"ò","o"),"ó","o"),"ô","o"),"ö","o"),"õ","o"),"ù","u"),"ú","u"),"û","u"),"ü","u"),"ý","y"),"ÿ","y"),"")</f>
        <v>oignons eminces surgeles</v>
      </c>
      <c r="Y9" s="581" t="str">
        <f>IF(9=9,SUBSTITUTE(SUBSTITUTE(SUBSTITUTE(SUBSTITUTE(SUBSTITUTE(SUBSTITUTE(SUBSTITUTE(SUBSTITUTE(SUBSTITUTE(SUBSTITUTE(SUBSTITUTE(SUBSTITUTE(SUBSTITUTE(SUBSTITUTE($X9,"’"," "),"`"," "),"–"," "),"—"," "),"-"," "),"'"," "),"/"," "),"_"," "),","," "),"."," "),"("," "),")"," "),";"," "),":"," "),"")</f>
        <v>oignons eminces surgeles</v>
      </c>
      <c r="Z9" s="581" t="str">
        <f>IF(9=9,SUBSTITUTE(SUBSTITUTE(SUBSTITUTE(SUBSTITUTE(SUBSTITUTE(SUBSTITUTE(SUBSTITUTE(SUBSTITUTE(SUBSTITUTE(SUBSTITUTE(SUBSTITUTE(SUBSTITUTE(SUBSTITUTE(SUBSTITUTE(SUBSTITUTE($Y9,"!"," "),"?"," "),"+"," "),"*"," "),"&amp;"," "),"["," "),"]"," "),"{"," "),"}"," "),"%"," "),"="," "),"\"," "),"|"," "),"&lt;"," "),"&gt;"," "),"")</f>
        <v>oignons eminces surgeles</v>
      </c>
      <c r="AA9" s="581" t="str">
        <f>IF(9=9," "&amp;TRIM(SUBSTITUTE(SUBSTITUTE(SUBSTITUTE(SUBSTITUTE(SUBSTITUTE(SUBSTITUTE($Z9,CHAR(34)," "),"  "," "),"  "," "),"  "," "),"  "," "),"  "," "))&amp;" ","")</f>
        <v xml:space="preserve"> oignons eminces surgeles </v>
      </c>
      <c r="AB9" s="581">
        <f>IF(9=9,IF($U9="","",SUMPRODUCT(--ISNUMBER(SEARCH(" "&amp;$CR$2:$CR$101&amp;" ",$AD9)))),"")</f>
        <v>0</v>
      </c>
      <c r="AC9" s="581">
        <f>IF(9=9,IF($U9="","",SUMPRODUCT(--ISNUMBER(SEARCH(" "&amp;$CR$102:$CR$151&amp;" ",$AD9)))),"")</f>
        <v>0</v>
      </c>
      <c r="AD9" s="581" t="e">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9" s="581">
        <f>IF(9=9,IF($U9="","",SUMPRODUCT(--ISNUMBER(SEARCH(" "&amp;$CR$184:$CR$205&amp;" ",$AD9)))),"")</f>
        <v>0</v>
      </c>
      <c r="AF9" s="581" t="str">
        <f>IF(9=9,IF($U9="","",IF(SUM(AB9:AC9)+SUMPRODUCT(--ISNUMBER(SEARCH(" "&amp;$CR$2418:$CR$2420&amp;" ",$AD9)))&gt;0,"X",IF(AE9&gt;0,"?",""))),"")</f>
        <v/>
      </c>
      <c r="AG9" s="581">
        <f>IF(9=9,IF($U9="","",SUMPRODUCT(--ISNUMBER(SEARCH(" "&amp;$CR$206:$CR$305&amp;" ",$AA9)))),"")</f>
        <v>0</v>
      </c>
      <c r="AH9" s="581">
        <f>IF(9=9,IF($U9="","",SUMPRODUCT(--ISNUMBER(SEARCH(" "&amp;$CR$306:$CR$340&amp;" ",$AA9)))),"")</f>
        <v>0</v>
      </c>
      <c r="AI9" s="581" t="str">
        <f>IF(9=9,IF($U9="","",IF((SUM(AG9:AH9))-(0)&gt;0,"X",IF((0)-(0)&gt;0,"?",""))),"")</f>
        <v/>
      </c>
      <c r="AJ9" s="581">
        <f>IF(9=9,IF($U9="","",SUMPRODUCT(--ISNUMBER(SEARCH(" "&amp;$CR$341:$CR$398&amp;" ",$AA9)))),"")</f>
        <v>0</v>
      </c>
      <c r="AK9" s="581">
        <f>IF(9=9,IF($U9="","",SUMPRODUCT(--ISNUMBER(SEARCH(" "&amp;$CR$399:$CR$426&amp;" ",$AL9)))+SUMPRODUCT(--ISNUMBER(SEARCH(" "&amp;$CR$2440:$CR$2453&amp;" ",$AL9)))),"")</f>
        <v>0</v>
      </c>
      <c r="AL9" s="581" t="str">
        <f>IF(9=9,IF($U9="","",SUBSTITUTE(SUBSTITUTE(SUBSTITUTE(SUBSTITUTE(SUBSTITUTE(SUBSTITUTE(SUBSTITUTE(SUBSTITUTE(SUBSTITUTE(SUBSTITUTE(SUBSTITUTE(SUBSTITUTE(SUBSTITUTE($AA9," "&amp;$CR$433&amp;" "," ")," "&amp;$CR$431&amp;" "," ")," "&amp;$CR$2438&amp;" "," ")," "&amp;$CR$2439&amp;" "," ")," "&amp;$CR$428&amp;" "," ")," "&amp;$CR$432&amp;" "," ")," "&amp;$CR$434&amp;" "," ")," "&amp;$CR$429&amp;" "," ")," "&amp;$CR$427&amp;" "," ")," "&amp;$CR$1367&amp;" "," ")," "&amp;$CR$435&amp;" "," ")," "&amp;$CR$1366&amp;" "," ")," "&amp;$CR$430&amp;" "," ")),"")</f>
        <v xml:space="preserve"> oignons eminces surgeles </v>
      </c>
      <c r="AM9" s="581" t="str">
        <f>IF(9=9,IF($U9="","",IF(AJ9&gt;0,"X",IF(AK9&gt;0,"?",""))),"")</f>
        <v/>
      </c>
      <c r="AN9" s="581">
        <f>IF(9=9,IF($U9="","",SUMPRODUCT(--ISNUMBER(SEARCH(" "&amp;$CR$436:$CR$535&amp;" ",$AX9)))),"")</f>
        <v>0</v>
      </c>
      <c r="AO9" s="581">
        <f>IF(9=9,IF($U9="","",SUMPRODUCT(--ISNUMBER(SEARCH(" "&amp;$CR$536:$CR$635&amp;" ",$AX9)))),"")</f>
        <v>0</v>
      </c>
      <c r="AP9" s="581">
        <f>IF(9=9,IF($U9="","",SUMPRODUCT(--ISNUMBER(SEARCH(" "&amp;$CR$636:$CR$735&amp;" ",$AX9)))),"")</f>
        <v>0</v>
      </c>
      <c r="AQ9" s="581">
        <f>IF(9=9,IF($U9="","",SUMPRODUCT(--ISNUMBER(SEARCH(" "&amp;$CR$736:$CR$835&amp;" ",$AX9)))),"")</f>
        <v>0</v>
      </c>
      <c r="AR9" s="581">
        <f>IF(9=9,IF($U9="","",SUMPRODUCT(--ISNUMBER(SEARCH(" "&amp;$CR$836:$CR$935&amp;" ",$AX9)))),"")</f>
        <v>0</v>
      </c>
      <c r="AS9" s="581">
        <f>IF(9=9,IF($U9="","",SUMPRODUCT(--ISNUMBER(SEARCH(" "&amp;$CR$936:$CR$1035&amp;" ",$AX9)))),"")</f>
        <v>0</v>
      </c>
      <c r="AT9" s="581">
        <f>IF(9=9,IF($U9="","",SUMPRODUCT(--ISNUMBER(SEARCH(" "&amp;$CR$1036:$CR$1135&amp;" ",$AX9)))),"")</f>
        <v>0</v>
      </c>
      <c r="AU9" s="581">
        <f>IF(9=9,IF($U9="","",SUMPRODUCT(--ISNUMBER(SEARCH(" "&amp;$CR$1136:$CR$1235&amp;" ",$AX9)))),"")</f>
        <v>0</v>
      </c>
      <c r="AV9" s="581">
        <f>IF(9=9,IF($U9="","",SUMPRODUCT(--ISNUMBER(SEARCH(" "&amp;$CR$1236:$CR$1335&amp;" ",$AX9)))),"")</f>
        <v>0</v>
      </c>
      <c r="AW9" s="581">
        <f>IF(9=9,IF($U9="","",SUMPRODUCT(--ISNUMBER(SEARCH(" "&amp;$CR$1336:$CR$1363&amp;" ",$AX9)))),"")</f>
        <v>0</v>
      </c>
      <c r="AX9" s="581" t="str">
        <f>IF(9=9,IF($U9="","",SUBSTITUTE(SUBSTITUTE(SUBSTITUTE(SUBSTITUTE(SUBSTITUTE(SUBSTITUTE(SUBSTITUTE(SUBSTITUTE(SUBSTITUTE($AA9," "&amp;$CR$1365&amp;" "," ")," "&amp;$CR$1364&amp;" "," ")," "&amp;$CR$1370&amp;" "," ")," "&amp;$CR$1371&amp;" "," ")," "&amp;$CR$1367&amp;" "," ")," "&amp;$CR$1369&amp;" "," ")," "&amp;$CR$1366&amp;" "," ")," "&amp;$CR$1368&amp;" "," ")," "&amp;$CR$1372&amp;" "," ")),"")</f>
        <v xml:space="preserve"> oignons eminces surgeles </v>
      </c>
      <c r="AY9" s="581">
        <f>IF(9=9,IF($U9="","",SUMPRODUCT(--ISNUMBER(SEARCH(" "&amp;$CR$1373:$CR$1383&amp;" ",$AX9)))),"")</f>
        <v>0</v>
      </c>
      <c r="AZ9" s="581" t="str">
        <f>IF(9=9,IF($U9="","",IF(SUM(AN9:AW9)+SUMPRODUCT(--ISNUMBER(SEARCH(" "&amp;$CR$2421:$CR$2422&amp;" ",$AX9)))&gt;0,"X",IF(AY9&gt;0,"?",""))),"")</f>
        <v/>
      </c>
      <c r="BA9" s="581">
        <f>IF(9=9,IF($U9="","",SUMPRODUCT(--ISNUMBER(SEARCH(" "&amp;$CR$1384:$CR$1404&amp;" ",$AA9)))),"")</f>
        <v>0</v>
      </c>
      <c r="BB9" s="581" t="str">
        <f>IF(9=9,IF($U9="","",IF((BA9)-(0)&gt;0,"X",IF((0)-(0)&gt;0,"?",""))),"")</f>
        <v/>
      </c>
      <c r="BC9" s="581">
        <f>IF(9=9,IF($U9="","",SUMPRODUCT(--ISNUMBER(SEARCH(" "&amp;$CR$1405:$CR$1442&amp;" ",$BD9)))),"")</f>
        <v>0</v>
      </c>
      <c r="BD9" s="581" t="str">
        <f>IF(9=9,IF($U9="","",SUBSTITUTE(SUBSTITUTE($AA9," "&amp;$CR$1443&amp;" "," ")," "&amp;$CR$1444&amp;" "," ")),"")</f>
        <v xml:space="preserve"> oignons eminces surgeles </v>
      </c>
      <c r="BE9" s="581">
        <f>IF(9=9,IF($U9="","",SUMPRODUCT(--ISNUMBER(SEARCH(" "&amp;$CR$1445:$CR$1455&amp;" ",$BD9)))),"")</f>
        <v>0</v>
      </c>
      <c r="BF9" s="581" t="str">
        <f>IF(9=9,IF($U9="","",IF(BC9&gt;0,"X",IF(BE9&gt;0,"?",""))),"")</f>
        <v/>
      </c>
      <c r="BG9" s="581">
        <f>IF(9=9,IF($U9="","",SUMPRODUCT(--ISNUMBER(SEARCH(" "&amp;$CR$1456:$CR$1555&amp;" ",$BJ9)))),"")</f>
        <v>0</v>
      </c>
      <c r="BH9" s="581">
        <f>IF(9=9,IF($U9="","",SUMPRODUCT(--ISNUMBER(SEARCH(" "&amp;$CR$1556:$CR$1655&amp;" ",$BJ9)))),"")</f>
        <v>0</v>
      </c>
      <c r="BI9" s="581">
        <f>IF(9=9,IF($U9="","",SUMPRODUCT(--ISNUMBER(SEARCH(" "&amp;$CR$1656:$CR$1739&amp;" ",$BJ9)))),"")</f>
        <v>0</v>
      </c>
      <c r="BJ9" s="581"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9" s="581">
        <f>IF(9=9,IF($U9="","",SUMPRODUCT(--ISNUMBER(SEARCH(" "&amp;$CR$1790:$CR$1869&amp;" ",$BL9)))+SUMPRODUCT(--ISNUMBER(SEARCH(" "&amp;$CR$2440:$CR$2453&amp;" ",$BL9)))),"")</f>
        <v>0</v>
      </c>
      <c r="BL9" s="581"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oignons eminces surgeles </v>
      </c>
      <c r="BM9" s="581" t="str">
        <f>IF(9=9,IF($U9="","",IF(SUM(BG9:BI9)+SUMPRODUCT(--ISNUMBER(SEARCH(" "&amp;$CR$2423:$CR$2424&amp;" ",$BJ9)))&gt;0,"X",IF(BK9&gt;0,"?",""))),"")</f>
        <v/>
      </c>
      <c r="BN9" s="581">
        <f>IF(9=9,IF($U9="","",SUMPRODUCT(--ISNUMBER(SEARCH(" "&amp;$CR$1879:$CR$1936&amp;" ",$BO9)))),"")</f>
        <v>0</v>
      </c>
      <c r="BO9" s="581"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9" s="581">
        <f>IF(9=9,IF($U9="","",SUMPRODUCT(--ISNUMBER(SEARCH(" "&amp;$CR$1960:$CR$1976&amp;" ",$BO9)))),"")</f>
        <v>0</v>
      </c>
      <c r="BQ9" s="581" t="str">
        <f>IF(9=9,IF($U9="","",IF(BN9&gt;0,"X",IF(BP9&gt;0,"?",""))),"")</f>
        <v/>
      </c>
      <c r="BR9" s="581">
        <f>IF(9=9,IF($U9="","",SUMPRODUCT(--ISNUMBER(SEARCH(" "&amp;$CR$1977:$CR$1990&amp;" ",$AA9)))),"")</f>
        <v>0</v>
      </c>
      <c r="BS9" s="581">
        <f>IF(9=9,IF($U9="","",SUMPRODUCT(--ISNUMBER(SEARCH(" "&amp;$CR$1991:$CR$2005&amp;" ",$AA9)))),"")</f>
        <v>0</v>
      </c>
      <c r="BT9" s="581" t="str">
        <f>IF(9=9,IF($U9="","",IF((BR9)-(0)&gt;0,"X",IF((BS9)-(0)&gt;0,"?",""))),"")</f>
        <v/>
      </c>
      <c r="BU9" s="581">
        <f>IF(9=9,IF($U9="","",SUMPRODUCT(--ISNUMBER(SEARCH(" "&amp;$CR$2006:$CR$2023&amp;" ",$AA9)))),"")</f>
        <v>0</v>
      </c>
      <c r="BV9" s="581">
        <f>IF(9=9,IF($U9="","",SUMPRODUCT(--ISNUMBER(SEARCH(" "&amp;$CR$2024:$CR$2038&amp;" ",$AA9)))),"")</f>
        <v>0</v>
      </c>
      <c r="BW9" s="581" t="str">
        <f>IF(9=9,IF($U9="","",IF((BU9)-(0)&gt;0,"X",IF((BV9)-(0)&gt;0,"?",""))),"")</f>
        <v/>
      </c>
      <c r="BX9" s="581">
        <f>IF(9=9,IF($U9="","",SUMPRODUCT(--ISNUMBER(SEARCH(" "&amp;$CR$2039:$CR$2057&amp;" ",$AA9)))),"")</f>
        <v>0</v>
      </c>
      <c r="BY9" s="581">
        <f>IF(9=9,IF($U9="","",SUMPRODUCT(--ISNUMBER(SEARCH(" "&amp;$CR$2058:$CR$2072&amp;" ",$AA9)))),"")</f>
        <v>0</v>
      </c>
      <c r="BZ9" s="581" t="str">
        <f>IF(9=9,IF($U9="","",IF((BX9)-(0)&gt;0,"X",IF((BY9)-(0)&gt;0,"?",""))),"")</f>
        <v/>
      </c>
      <c r="CA9" s="581">
        <f>IF(9=9,IF($U9="","",SUMPRODUCT(--ISNUMBER(SEARCH(" "&amp;$CR$2073:$CR$2093&amp;" ",$AA9)))),"")</f>
        <v>0</v>
      </c>
      <c r="CB9" s="581">
        <f>IF(9=9,IF($U9="","",SUMPRODUCT(--ISNUMBER(SEARCH(" "&amp;$CR$2094:$CR$2133&amp;" ",SUBSTITUTE(SUBSTITUTE($AA9," "&amp;$CR$1367&amp;" "," ")," "&amp;$CR$1366&amp;" "," "))))+--ISNUMBER(SEARCH("poiré",$V9))),"")</f>
        <v>0</v>
      </c>
      <c r="CC9" s="581" t="str">
        <f>IF(9=9,IF($U9="","",IF(OR(CA9&gt;0,ISNUMBER(SEARCH(" vinaigre de vin ",$AA9)),ISNUMBER(SEARCH(" vinaigre au vin ",$AA9))),"X",IF(CB9&gt;0,"?",""))),"")</f>
        <v/>
      </c>
      <c r="CD9" s="581">
        <f>IF(9=9,IF($U9="","",SUMPRODUCT(--ISNUMBER(SEARCH(" "&amp;$CR$2134:$CR$2146&amp;" ",$AA9)))),"")</f>
        <v>0</v>
      </c>
      <c r="CE9" s="581">
        <f>IF(9=9,IF($U9="","",SUMPRODUCT(--ISNUMBER(SEARCH(" "&amp;$CR$2147:$CR$2152&amp;" ",$AA9)))),"")</f>
        <v>0</v>
      </c>
      <c r="CF9" s="581" t="str">
        <f>IF(9=9,IF($U9="","",IF((CD9)-(0)&gt;0,"X",IF((CE9)-(0)&gt;0,"?",""))),"")</f>
        <v/>
      </c>
      <c r="CG9" s="581">
        <f>IF(9=9,IF($U9="","",SUMPRODUCT(--ISNUMBER(SEARCH(" "&amp;$CR$2153:$CR$2252&amp;" ",$CJ9)))),"")</f>
        <v>0</v>
      </c>
      <c r="CH9" s="581">
        <f>IF(9=9,IF($U9="","",SUMPRODUCT(--ISNUMBER(SEARCH(" "&amp;$CR$2253:$CR$2352&amp;" ",$CJ9)))),"")</f>
        <v>0</v>
      </c>
      <c r="CI9" s="581">
        <f>IF(9=9,IF($U9="","",SUMPRODUCT(--ISNUMBER(SEARCH(" "&amp;$CR$2353:$CR$2395&amp;" ",$CJ9)))),"")</f>
        <v>0</v>
      </c>
      <c r="CJ9" s="581"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9" s="581">
        <f>IF(9=9,IF($U9="","",SUMPRODUCT(--ISNUMBER(SEARCH(" "&amp;$CR$2412:$CR$2416&amp;" ",$CJ9)))),"")</f>
        <v>0</v>
      </c>
      <c r="CL9" s="581" t="str">
        <f>IF(9=9,IF($U9="","",IF(SUM(CG9:CI9)&gt;0,"X",IF(CK9&gt;0,"?",""))),"")</f>
        <v/>
      </c>
      <c r="CM9" s="582"/>
      <c r="CN9" s="584" t="s">
        <v>1990</v>
      </c>
      <c r="CO9" s="584" t="s">
        <v>1887</v>
      </c>
      <c r="CP9" s="584" t="s">
        <v>1888</v>
      </c>
      <c r="CQ9" s="584" t="s">
        <v>1991</v>
      </c>
      <c r="CR9" s="584" t="s">
        <v>1992</v>
      </c>
      <c r="CS9" s="584" t="s">
        <v>1890</v>
      </c>
      <c r="CT9" s="584" t="s">
        <v>1891</v>
      </c>
      <c r="CU9" s="584" t="s">
        <v>1892</v>
      </c>
      <c r="CV9" s="585" t="s">
        <v>1893</v>
      </c>
    </row>
    <row r="10" spans="1:101" ht="21.95" customHeight="1" x14ac:dyDescent="0.25">
      <c r="A10" s="597">
        <v>4</v>
      </c>
      <c r="B10" s="598" t="s">
        <v>1993</v>
      </c>
      <c r="C10" s="599" t="str">
        <f t="shared" si="0"/>
        <v>Céleri-branche *</v>
      </c>
      <c r="D10" s="600"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Céleri</v>
      </c>
      <c r="E10" s="601" t="str">
        <f>IF(10=10,IF($B10="","",AF10),"")</f>
        <v/>
      </c>
      <c r="F10" s="601" t="str">
        <f>IF(10=10,IF($B10="","",AI10),"")</f>
        <v/>
      </c>
      <c r="G10" s="601" t="str">
        <f>IF(10=10,IF($B10="","",AM10),"")</f>
        <v/>
      </c>
      <c r="H10" s="601" t="str">
        <f>IF(10=10,IF($B10="","",AZ10),"")</f>
        <v/>
      </c>
      <c r="I10" s="601" t="str">
        <f>IF(10=10,IF($B10="","",BB10),"")</f>
        <v/>
      </c>
      <c r="J10" s="601" t="str">
        <f>IF(10=10,IF($B10="","",BF10),"")</f>
        <v/>
      </c>
      <c r="K10" s="601" t="str">
        <f>IF(10=10,IF($B10="","",BM10),"")</f>
        <v/>
      </c>
      <c r="L10" s="601" t="str">
        <f>IF(10=10,IF($B10="","",BQ10),"")</f>
        <v/>
      </c>
      <c r="M10" s="601" t="str">
        <f>IF(10=10,IF($B10="","",BT10),"")</f>
        <v>X</v>
      </c>
      <c r="N10" s="601" t="str">
        <f>IF(10=10,IF($B10="","",BW10),"")</f>
        <v/>
      </c>
      <c r="O10" s="601" t="str">
        <f>IF(10=10,IF($B10="","",BZ10),"")</f>
        <v/>
      </c>
      <c r="P10" s="601" t="str">
        <f>IF(10=10,IF($B10="","",CC10),"")</f>
        <v/>
      </c>
      <c r="Q10" s="601" t="str">
        <f>IF(10=10,IF($B10="","",CF10),"")</f>
        <v/>
      </c>
      <c r="R10" s="601" t="str">
        <f>IF(10=10,IF($B10="","",CL10),"")</f>
        <v/>
      </c>
      <c r="S10" s="602"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581" t="str">
        <f>IF(10=10,IF($B10="","",$B10),"")</f>
        <v>Céleri-branche</v>
      </c>
      <c r="V10" s="581" t="str">
        <f>IF(10=10,LOWER(CLEAN(SUBSTITUTE(SUBSTITUTE(SUBSTITUTE(SUBSTITUTE($U10,CHAR(160)," ")," "," "),CHAR(10)," "),CHAR(13)," "))),"")</f>
        <v>céleri-branche</v>
      </c>
      <c r="W10" s="581" t="str">
        <f>IF(10=10,SUBSTITUTE(SUBSTITUTE(SUBSTITUTE(SUBSTITUTE(SUBSTITUTE(SUBSTITUTE(SUBSTITUTE(SUBSTITUTE(SUBSTITUTE(SUBSTITUTE(SUBSTITUTE(SUBSTITUTE($V10,"œ","oe"),"æ","ae"),"à","a"),"á","a"),"â","a"),"ä","a"),"ã","a"),"ç","c"),"è","e"),"é","e"),"ê","e"),"ë","e"),"")</f>
        <v>celeri-branche</v>
      </c>
      <c r="X10" s="581" t="str">
        <f>IF(10=10,SUBSTITUTE(SUBSTITUTE(SUBSTITUTE(SUBSTITUTE(SUBSTITUTE(SUBSTITUTE(SUBSTITUTE(SUBSTITUTE(SUBSTITUTE(SUBSTITUTE(SUBSTITUTE(SUBSTITUTE(SUBSTITUTE(SUBSTITUTE(SUBSTITUTE(SUBSTITUTE($W10,"ì","i"),"í","i"),"î","i"),"ï","i"),"ñ","n"),"ò","o"),"ó","o"),"ô","o"),"ö","o"),"õ","o"),"ù","u"),"ú","u"),"û","u"),"ü","u"),"ý","y"),"ÿ","y"),"")</f>
        <v>celeri-branche</v>
      </c>
      <c r="Y10" s="581" t="str">
        <f>IF(10=10,SUBSTITUTE(SUBSTITUTE(SUBSTITUTE(SUBSTITUTE(SUBSTITUTE(SUBSTITUTE(SUBSTITUTE(SUBSTITUTE(SUBSTITUTE(SUBSTITUTE(SUBSTITUTE(SUBSTITUTE(SUBSTITUTE(SUBSTITUTE($X10,"’"," "),"`"," "),"–"," "),"—"," "),"-"," "),"'"," "),"/"," "),"_"," "),","," "),"."," "),"("," "),")"," "),";"," "),":"," "),"")</f>
        <v>celeri branche</v>
      </c>
      <c r="Z10" s="581" t="str">
        <f>IF(10=10,SUBSTITUTE(SUBSTITUTE(SUBSTITUTE(SUBSTITUTE(SUBSTITUTE(SUBSTITUTE(SUBSTITUTE(SUBSTITUTE(SUBSTITUTE(SUBSTITUTE(SUBSTITUTE(SUBSTITUTE(SUBSTITUTE(SUBSTITUTE(SUBSTITUTE($Y10,"!"," "),"?"," "),"+"," "),"*"," "),"&amp;"," "),"["," "),"]"," "),"{"," "),"}"," "),"%"," "),"="," "),"\"," "),"|"," "),"&lt;"," "),"&gt;"," "),"")</f>
        <v>celeri branche</v>
      </c>
      <c r="AA10" s="581" t="str">
        <f>IF(10=10," "&amp;TRIM(SUBSTITUTE(SUBSTITUTE(SUBSTITUTE(SUBSTITUTE(SUBSTITUTE(SUBSTITUTE($Z10,CHAR(34)," "),"  "," "),"  "," "),"  "," "),"  "," "),"  "," "))&amp;" ","")</f>
        <v xml:space="preserve"> celeri branche </v>
      </c>
      <c r="AB10" s="581">
        <f>IF(10=10,IF($U10="","",SUMPRODUCT(--ISNUMBER(SEARCH(" "&amp;$CR$2:$CR$101&amp;" ",$AD10)))),"")</f>
        <v>0</v>
      </c>
      <c r="AC10" s="581">
        <f>IF(10=10,IF($U10="","",SUMPRODUCT(--ISNUMBER(SEARCH(" "&amp;$CR$102:$CR$151&amp;" ",$AD10)))),"")</f>
        <v>0</v>
      </c>
      <c r="AD10" s="581" t="e">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0" s="581">
        <f>IF(10=10,IF($U10="","",SUMPRODUCT(--ISNUMBER(SEARCH(" "&amp;$CR$184:$CR$205&amp;" ",$AD10)))),"")</f>
        <v>0</v>
      </c>
      <c r="AF10" s="581" t="str">
        <f>IF(10=10,IF($U10="","",IF(SUM(AB10:AC10)+SUMPRODUCT(--ISNUMBER(SEARCH(" "&amp;$CR$2418:$CR$2420&amp;" ",$AD10)))&gt;0,"X",IF(AE10&gt;0,"?",""))),"")</f>
        <v/>
      </c>
      <c r="AG10" s="581">
        <f>IF(10=10,IF($U10="","",SUMPRODUCT(--ISNUMBER(SEARCH(" "&amp;$CR$206:$CR$305&amp;" ",$AA10)))),"")</f>
        <v>0</v>
      </c>
      <c r="AH10" s="581">
        <f>IF(10=10,IF($U10="","",SUMPRODUCT(--ISNUMBER(SEARCH(" "&amp;$CR$306:$CR$340&amp;" ",$AA10)))),"")</f>
        <v>0</v>
      </c>
      <c r="AI10" s="581" t="str">
        <f>IF(10=10,IF($U10="","",IF((SUM(AG10:AH10))-(0)&gt;0,"X",IF((0)-(0)&gt;0,"?",""))),"")</f>
        <v/>
      </c>
      <c r="AJ10" s="581">
        <f>IF(10=10,IF($U10="","",SUMPRODUCT(--ISNUMBER(SEARCH(" "&amp;$CR$341:$CR$398&amp;" ",$AA10)))),"")</f>
        <v>0</v>
      </c>
      <c r="AK10" s="581">
        <f>IF(10=10,IF($U10="","",SUMPRODUCT(--ISNUMBER(SEARCH(" "&amp;$CR$399:$CR$426&amp;" ",$AL10)))+SUMPRODUCT(--ISNUMBER(SEARCH(" "&amp;$CR$2440:$CR$2453&amp;" ",$AL10)))),"")</f>
        <v>0</v>
      </c>
      <c r="AL10" s="581" t="str">
        <f>IF(10=10,IF($U10="","",SUBSTITUTE(SUBSTITUTE(SUBSTITUTE(SUBSTITUTE(SUBSTITUTE(SUBSTITUTE(SUBSTITUTE(SUBSTITUTE(SUBSTITUTE(SUBSTITUTE(SUBSTITUTE(SUBSTITUTE(SUBSTITUTE($AA10," "&amp;$CR$433&amp;" "," ")," "&amp;$CR$431&amp;" "," ")," "&amp;$CR$2438&amp;" "," ")," "&amp;$CR$2439&amp;" "," ")," "&amp;$CR$428&amp;" "," ")," "&amp;$CR$432&amp;" "," ")," "&amp;$CR$434&amp;" "," ")," "&amp;$CR$429&amp;" "," ")," "&amp;$CR$427&amp;" "," ")," "&amp;$CR$1367&amp;" "," ")," "&amp;$CR$435&amp;" "," ")," "&amp;$CR$1366&amp;" "," ")," "&amp;$CR$430&amp;" "," ")),"")</f>
        <v xml:space="preserve"> celeri branche </v>
      </c>
      <c r="AM10" s="581" t="str">
        <f>IF(10=10,IF($U10="","",IF(AJ10&gt;0,"X",IF(AK10&gt;0,"?",""))),"")</f>
        <v/>
      </c>
      <c r="AN10" s="581">
        <f>IF(10=10,IF($U10="","",SUMPRODUCT(--ISNUMBER(SEARCH(" "&amp;$CR$436:$CR$535&amp;" ",$AX10)))),"")</f>
        <v>0</v>
      </c>
      <c r="AO10" s="581">
        <f>IF(10=10,IF($U10="","",SUMPRODUCT(--ISNUMBER(SEARCH(" "&amp;$CR$536:$CR$635&amp;" ",$AX10)))),"")</f>
        <v>0</v>
      </c>
      <c r="AP10" s="581">
        <f>IF(10=10,IF($U10="","",SUMPRODUCT(--ISNUMBER(SEARCH(" "&amp;$CR$636:$CR$735&amp;" ",$AX10)))),"")</f>
        <v>0</v>
      </c>
      <c r="AQ10" s="581">
        <f>IF(10=10,IF($U10="","",SUMPRODUCT(--ISNUMBER(SEARCH(" "&amp;$CR$736:$CR$835&amp;" ",$AX10)))),"")</f>
        <v>0</v>
      </c>
      <c r="AR10" s="581">
        <f>IF(10=10,IF($U10="","",SUMPRODUCT(--ISNUMBER(SEARCH(" "&amp;$CR$836:$CR$935&amp;" ",$AX10)))),"")</f>
        <v>0</v>
      </c>
      <c r="AS10" s="581">
        <f>IF(10=10,IF($U10="","",SUMPRODUCT(--ISNUMBER(SEARCH(" "&amp;$CR$936:$CR$1035&amp;" ",$AX10)))),"")</f>
        <v>0</v>
      </c>
      <c r="AT10" s="581">
        <f>IF(10=10,IF($U10="","",SUMPRODUCT(--ISNUMBER(SEARCH(" "&amp;$CR$1036:$CR$1135&amp;" ",$AX10)))),"")</f>
        <v>0</v>
      </c>
      <c r="AU10" s="581">
        <f>IF(10=10,IF($U10="","",SUMPRODUCT(--ISNUMBER(SEARCH(" "&amp;$CR$1136:$CR$1235&amp;" ",$AX10)))),"")</f>
        <v>0</v>
      </c>
      <c r="AV10" s="581">
        <f>IF(10=10,IF($U10="","",SUMPRODUCT(--ISNUMBER(SEARCH(" "&amp;$CR$1236:$CR$1335&amp;" ",$AX10)))),"")</f>
        <v>0</v>
      </c>
      <c r="AW10" s="581">
        <f>IF(10=10,IF($U10="","",SUMPRODUCT(--ISNUMBER(SEARCH(" "&amp;$CR$1336:$CR$1363&amp;" ",$AX10)))),"")</f>
        <v>0</v>
      </c>
      <c r="AX10" s="581" t="str">
        <f>IF(10=10,IF($U10="","",SUBSTITUTE(SUBSTITUTE(SUBSTITUTE(SUBSTITUTE(SUBSTITUTE(SUBSTITUTE(SUBSTITUTE(SUBSTITUTE(SUBSTITUTE($AA10," "&amp;$CR$1365&amp;" "," ")," "&amp;$CR$1364&amp;" "," ")," "&amp;$CR$1370&amp;" "," ")," "&amp;$CR$1371&amp;" "," ")," "&amp;$CR$1367&amp;" "," ")," "&amp;$CR$1369&amp;" "," ")," "&amp;$CR$1366&amp;" "," ")," "&amp;$CR$1368&amp;" "," ")," "&amp;$CR$1372&amp;" "," ")),"")</f>
        <v xml:space="preserve"> celeri branche </v>
      </c>
      <c r="AY10" s="581">
        <f>IF(10=10,IF($U10="","",SUMPRODUCT(--ISNUMBER(SEARCH(" "&amp;$CR$1373:$CR$1383&amp;" ",$AX10)))),"")</f>
        <v>0</v>
      </c>
      <c r="AZ10" s="581" t="str">
        <f>IF(10=10,IF($U10="","",IF(SUM(AN10:AW10)+SUMPRODUCT(--ISNUMBER(SEARCH(" "&amp;$CR$2421:$CR$2422&amp;" ",$AX10)))&gt;0,"X",IF(AY10&gt;0,"?",""))),"")</f>
        <v/>
      </c>
      <c r="BA10" s="581">
        <f>IF(10=10,IF($U10="","",SUMPRODUCT(--ISNUMBER(SEARCH(" "&amp;$CR$1384:$CR$1404&amp;" ",$AA10)))),"")</f>
        <v>0</v>
      </c>
      <c r="BB10" s="581" t="str">
        <f>IF(10=10,IF($U10="","",IF((BA10)-(0)&gt;0,"X",IF((0)-(0)&gt;0,"?",""))),"")</f>
        <v/>
      </c>
      <c r="BC10" s="581">
        <f>IF(10=10,IF($U10="","",SUMPRODUCT(--ISNUMBER(SEARCH(" "&amp;$CR$1405:$CR$1442&amp;" ",$BD10)))),"")</f>
        <v>0</v>
      </c>
      <c r="BD10" s="581" t="str">
        <f>IF(10=10,IF($U10="","",SUBSTITUTE(SUBSTITUTE($AA10," "&amp;$CR$1443&amp;" "," ")," "&amp;$CR$1444&amp;" "," ")),"")</f>
        <v xml:space="preserve"> celeri branche </v>
      </c>
      <c r="BE10" s="581">
        <f>IF(10=10,IF($U10="","",SUMPRODUCT(--ISNUMBER(SEARCH(" "&amp;$CR$1445:$CR$1455&amp;" ",$BD10)))),"")</f>
        <v>0</v>
      </c>
      <c r="BF10" s="581" t="str">
        <f>IF(10=10,IF($U10="","",IF(BC10&gt;0,"X",IF(BE10&gt;0,"?",""))),"")</f>
        <v/>
      </c>
      <c r="BG10" s="581">
        <f>IF(10=10,IF($U10="","",SUMPRODUCT(--ISNUMBER(SEARCH(" "&amp;$CR$1456:$CR$1555&amp;" ",$BJ10)))),"")</f>
        <v>0</v>
      </c>
      <c r="BH10" s="581">
        <f>IF(10=10,IF($U10="","",SUMPRODUCT(--ISNUMBER(SEARCH(" "&amp;$CR$1556:$CR$1655&amp;" ",$BJ10)))),"")</f>
        <v>0</v>
      </c>
      <c r="BI10" s="581">
        <f>IF(10=10,IF($U10="","",SUMPRODUCT(--ISNUMBER(SEARCH(" "&amp;$CR$1656:$CR$1739&amp;" ",$BJ10)))),"")</f>
        <v>0</v>
      </c>
      <c r="BJ10" s="581"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celeri branche </v>
      </c>
      <c r="BK10" s="581">
        <f>IF(10=10,IF($U10="","",SUMPRODUCT(--ISNUMBER(SEARCH(" "&amp;$CR$1790:$CR$1869&amp;" ",$BL10)))+SUMPRODUCT(--ISNUMBER(SEARCH(" "&amp;$CR$2440:$CR$2453&amp;" ",$BL10)))),"")</f>
        <v>0</v>
      </c>
      <c r="BL10" s="581"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celeri branche </v>
      </c>
      <c r="BM10" s="581" t="str">
        <f>IF(10=10,IF($U10="","",IF(SUM(BG10:BI10)+SUMPRODUCT(--ISNUMBER(SEARCH(" "&amp;$CR$2423:$CR$2424&amp;" ",$BJ10)))&gt;0,"X",IF(BK10&gt;0,"?",""))),"")</f>
        <v/>
      </c>
      <c r="BN10" s="581">
        <f>IF(10=10,IF($U10="","",SUMPRODUCT(--ISNUMBER(SEARCH(" "&amp;$CR$1879:$CR$1936&amp;" ",$BO10)))),"")</f>
        <v>0</v>
      </c>
      <c r="BO10" s="581"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celeri branche </v>
      </c>
      <c r="BP10" s="581">
        <f>IF(10=10,IF($U10="","",SUMPRODUCT(--ISNUMBER(SEARCH(" "&amp;$CR$1960:$CR$1976&amp;" ",$BO10)))),"")</f>
        <v>0</v>
      </c>
      <c r="BQ10" s="581" t="str">
        <f>IF(10=10,IF($U10="","",IF(BN10&gt;0,"X",IF(BP10&gt;0,"?",""))),"")</f>
        <v/>
      </c>
      <c r="BR10" s="581">
        <f>IF(10=10,IF($U10="","",SUMPRODUCT(--ISNUMBER(SEARCH(" "&amp;$CR$1977:$CR$1990&amp;" ",$AA10)))),"")</f>
        <v>2</v>
      </c>
      <c r="BS10" s="581">
        <f>IF(10=10,IF($U10="","",SUMPRODUCT(--ISNUMBER(SEARCH(" "&amp;$CR$1991:$CR$2005&amp;" ",$AA10)))),"")</f>
        <v>0</v>
      </c>
      <c r="BT10" s="581" t="str">
        <f>IF(10=10,IF($U10="","",IF((BR10)-(0)&gt;0,"X",IF((BS10)-(0)&gt;0,"?",""))),"")</f>
        <v>X</v>
      </c>
      <c r="BU10" s="581">
        <f>IF(10=10,IF($U10="","",SUMPRODUCT(--ISNUMBER(SEARCH(" "&amp;$CR$2006:$CR$2023&amp;" ",$AA10)))),"")</f>
        <v>0</v>
      </c>
      <c r="BV10" s="581">
        <f>IF(10=10,IF($U10="","",SUMPRODUCT(--ISNUMBER(SEARCH(" "&amp;$CR$2024:$CR$2038&amp;" ",$AA10)))),"")</f>
        <v>0</v>
      </c>
      <c r="BW10" s="581" t="str">
        <f>IF(10=10,IF($U10="","",IF((BU10)-(0)&gt;0,"X",IF((BV10)-(0)&gt;0,"?",""))),"")</f>
        <v/>
      </c>
      <c r="BX10" s="581">
        <f>IF(10=10,IF($U10="","",SUMPRODUCT(--ISNUMBER(SEARCH(" "&amp;$CR$2039:$CR$2057&amp;" ",$AA10)))),"")</f>
        <v>0</v>
      </c>
      <c r="BY10" s="581">
        <f>IF(10=10,IF($U10="","",SUMPRODUCT(--ISNUMBER(SEARCH(" "&amp;$CR$2058:$CR$2072&amp;" ",$AA10)))),"")</f>
        <v>0</v>
      </c>
      <c r="BZ10" s="581" t="str">
        <f>IF(10=10,IF($U10="","",IF((BX10)-(0)&gt;0,"X",IF((BY10)-(0)&gt;0,"?",""))),"")</f>
        <v/>
      </c>
      <c r="CA10" s="581">
        <f>IF(10=10,IF($U10="","",SUMPRODUCT(--ISNUMBER(SEARCH(" "&amp;$CR$2073:$CR$2093&amp;" ",$AA10)))),"")</f>
        <v>0</v>
      </c>
      <c r="CB10" s="581">
        <f>IF(10=10,IF($U10="","",SUMPRODUCT(--ISNUMBER(SEARCH(" "&amp;$CR$2094:$CR$2133&amp;" ",SUBSTITUTE(SUBSTITUTE($AA10," "&amp;$CR$1367&amp;" "," ")," "&amp;$CR$1366&amp;" "," "))))+--ISNUMBER(SEARCH("poiré",$V10))),"")</f>
        <v>0</v>
      </c>
      <c r="CC10" s="581" t="str">
        <f>IF(10=10,IF($U10="","",IF(OR(CA10&gt;0,ISNUMBER(SEARCH(" vinaigre de vin ",$AA10)),ISNUMBER(SEARCH(" vinaigre au vin ",$AA10))),"X",IF(CB10&gt;0,"?",""))),"")</f>
        <v/>
      </c>
      <c r="CD10" s="581">
        <f>IF(10=10,IF($U10="","",SUMPRODUCT(--ISNUMBER(SEARCH(" "&amp;$CR$2134:$CR$2146&amp;" ",$AA10)))),"")</f>
        <v>0</v>
      </c>
      <c r="CE10" s="581">
        <f>IF(10=10,IF($U10="","",SUMPRODUCT(--ISNUMBER(SEARCH(" "&amp;$CR$2147:$CR$2152&amp;" ",$AA10)))),"")</f>
        <v>0</v>
      </c>
      <c r="CF10" s="581" t="str">
        <f>IF(10=10,IF($U10="","",IF((CD10)-(0)&gt;0,"X",IF((CE10)-(0)&gt;0,"?",""))),"")</f>
        <v/>
      </c>
      <c r="CG10" s="581">
        <f>IF(10=10,IF($U10="","",SUMPRODUCT(--ISNUMBER(SEARCH(" "&amp;$CR$2153:$CR$2252&amp;" ",$CJ10)))),"")</f>
        <v>0</v>
      </c>
      <c r="CH10" s="581">
        <f>IF(10=10,IF($U10="","",SUMPRODUCT(--ISNUMBER(SEARCH(" "&amp;$CR$2253:$CR$2352&amp;" ",$CJ10)))),"")</f>
        <v>0</v>
      </c>
      <c r="CI10" s="581">
        <f>IF(10=10,IF($U10="","",SUMPRODUCT(--ISNUMBER(SEARCH(" "&amp;$CR$2353:$CR$2395&amp;" ",$CJ10)))),"")</f>
        <v>0</v>
      </c>
      <c r="CJ10" s="581"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celeri branche </v>
      </c>
      <c r="CK10" s="581">
        <f>IF(10=10,IF($U10="","",SUMPRODUCT(--ISNUMBER(SEARCH(" "&amp;$CR$2412:$CR$2416&amp;" ",$CJ10)))),"")</f>
        <v>0</v>
      </c>
      <c r="CL10" s="581" t="str">
        <f>IF(10=10,IF($U10="","",IF(SUM(CG10:CI10)&gt;0,"X",IF(CK10&gt;0,"?",""))),"")</f>
        <v/>
      </c>
      <c r="CM10" s="582"/>
      <c r="CN10" s="584" t="s">
        <v>1994</v>
      </c>
      <c r="CO10" s="584" t="s">
        <v>1887</v>
      </c>
      <c r="CP10" s="584" t="s">
        <v>1888</v>
      </c>
      <c r="CQ10" s="584" t="s">
        <v>1995</v>
      </c>
      <c r="CR10" s="584" t="s">
        <v>1996</v>
      </c>
      <c r="CS10" s="584" t="s">
        <v>1890</v>
      </c>
      <c r="CT10" s="584" t="s">
        <v>1891</v>
      </c>
      <c r="CU10" s="584" t="s">
        <v>1892</v>
      </c>
      <c r="CV10" s="585" t="s">
        <v>1893</v>
      </c>
    </row>
    <row r="11" spans="1:101" ht="21.95" customHeight="1" x14ac:dyDescent="0.25">
      <c r="A11" s="597">
        <v>5</v>
      </c>
      <c r="B11" s="598" t="s">
        <v>1997</v>
      </c>
      <c r="C11" s="599" t="str">
        <f t="shared" si="0"/>
        <v>Ail haché surgelé</v>
      </c>
      <c r="D11" s="600"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601" t="str">
        <f>IF(11=11,IF($B11="","",AF11),"")</f>
        <v/>
      </c>
      <c r="F11" s="601" t="str">
        <f>IF(11=11,IF($B11="","",AI11),"")</f>
        <v/>
      </c>
      <c r="G11" s="601" t="str">
        <f>IF(11=11,IF($B11="","",AM11),"")</f>
        <v/>
      </c>
      <c r="H11" s="601" t="str">
        <f>IF(11=11,IF($B11="","",AZ11),"")</f>
        <v/>
      </c>
      <c r="I11" s="601" t="str">
        <f>IF(11=11,IF($B11="","",BB11),"")</f>
        <v/>
      </c>
      <c r="J11" s="601" t="str">
        <f>IF(11=11,IF($B11="","",BF11),"")</f>
        <v/>
      </c>
      <c r="K11" s="601" t="str">
        <f>IF(11=11,IF($B11="","",BM11),"")</f>
        <v/>
      </c>
      <c r="L11" s="601" t="str">
        <f>IF(11=11,IF($B11="","",BQ11),"")</f>
        <v/>
      </c>
      <c r="M11" s="601" t="str">
        <f>IF(11=11,IF($B11="","",BT11),"")</f>
        <v/>
      </c>
      <c r="N11" s="601" t="str">
        <f>IF(11=11,IF($B11="","",BW11),"")</f>
        <v/>
      </c>
      <c r="O11" s="601" t="str">
        <f>IF(11=11,IF($B11="","",BZ11),"")</f>
        <v/>
      </c>
      <c r="P11" s="601" t="str">
        <f>IF(11=11,IF($B11="","",CC11),"")</f>
        <v/>
      </c>
      <c r="Q11" s="601" t="str">
        <f>IF(11=11,IF($B11="","",CF11),"")</f>
        <v/>
      </c>
      <c r="R11" s="601" t="str">
        <f>IF(11=11,IF($B11="","",CL11),"")</f>
        <v/>
      </c>
      <c r="S11" s="602"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581" t="str">
        <f>IF(11=11,IF($B11="","",$B11),"")</f>
        <v>Ail haché surgelé</v>
      </c>
      <c r="V11" s="581" t="str">
        <f>IF(11=11,LOWER(CLEAN(SUBSTITUTE(SUBSTITUTE(SUBSTITUTE(SUBSTITUTE($U11,CHAR(160)," ")," "," "),CHAR(10)," "),CHAR(13)," "))),"")</f>
        <v>ail haché surgelé</v>
      </c>
      <c r="W11" s="581" t="str">
        <f>IF(11=11,SUBSTITUTE(SUBSTITUTE(SUBSTITUTE(SUBSTITUTE(SUBSTITUTE(SUBSTITUTE(SUBSTITUTE(SUBSTITUTE(SUBSTITUTE(SUBSTITUTE(SUBSTITUTE(SUBSTITUTE($V11,"œ","oe"),"æ","ae"),"à","a"),"á","a"),"â","a"),"ä","a"),"ã","a"),"ç","c"),"è","e"),"é","e"),"ê","e"),"ë","e"),"")</f>
        <v>ail hache surgele</v>
      </c>
      <c r="X11" s="581" t="str">
        <f>IF(11=11,SUBSTITUTE(SUBSTITUTE(SUBSTITUTE(SUBSTITUTE(SUBSTITUTE(SUBSTITUTE(SUBSTITUTE(SUBSTITUTE(SUBSTITUTE(SUBSTITUTE(SUBSTITUTE(SUBSTITUTE(SUBSTITUTE(SUBSTITUTE(SUBSTITUTE(SUBSTITUTE($W11,"ì","i"),"í","i"),"î","i"),"ï","i"),"ñ","n"),"ò","o"),"ó","o"),"ô","o"),"ö","o"),"õ","o"),"ù","u"),"ú","u"),"û","u"),"ü","u"),"ý","y"),"ÿ","y"),"")</f>
        <v>ail hache surgele</v>
      </c>
      <c r="Y11" s="581" t="str">
        <f>IF(11=11,SUBSTITUTE(SUBSTITUTE(SUBSTITUTE(SUBSTITUTE(SUBSTITUTE(SUBSTITUTE(SUBSTITUTE(SUBSTITUTE(SUBSTITUTE(SUBSTITUTE(SUBSTITUTE(SUBSTITUTE(SUBSTITUTE(SUBSTITUTE($X11,"’"," "),"`"," "),"–"," "),"—"," "),"-"," "),"'"," "),"/"," "),"_"," "),","," "),"."," "),"("," "),")"," "),";"," "),":"," "),"")</f>
        <v>ail hache surgele</v>
      </c>
      <c r="Z11" s="581" t="str">
        <f>IF(11=11,SUBSTITUTE(SUBSTITUTE(SUBSTITUTE(SUBSTITUTE(SUBSTITUTE(SUBSTITUTE(SUBSTITUTE(SUBSTITUTE(SUBSTITUTE(SUBSTITUTE(SUBSTITUTE(SUBSTITUTE(SUBSTITUTE(SUBSTITUTE(SUBSTITUTE($Y11,"!"," "),"?"," "),"+"," "),"*"," "),"&amp;"," "),"["," "),"]"," "),"{"," "),"}"," "),"%"," "),"="," "),"\"," "),"|"," "),"&lt;"," "),"&gt;"," "),"")</f>
        <v>ail hache surgele</v>
      </c>
      <c r="AA11" s="581" t="str">
        <f>IF(11=11," "&amp;TRIM(SUBSTITUTE(SUBSTITUTE(SUBSTITUTE(SUBSTITUTE(SUBSTITUTE(SUBSTITUTE($Z11,CHAR(34)," "),"  "," "),"  "," "),"  "," "),"  "," "),"  "," "))&amp;" ","")</f>
        <v xml:space="preserve"> ail hache surgele </v>
      </c>
      <c r="AB11" s="581">
        <f>IF(11=11,IF($U11="","",SUMPRODUCT(--ISNUMBER(SEARCH(" "&amp;$CR$2:$CR$101&amp;" ",$AD11)))),"")</f>
        <v>0</v>
      </c>
      <c r="AC11" s="581">
        <f>IF(11=11,IF($U11="","",SUMPRODUCT(--ISNUMBER(SEARCH(" "&amp;$CR$102:$CR$151&amp;" ",$AD11)))),"")</f>
        <v>0</v>
      </c>
      <c r="AD11" s="581" t="e">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1" s="581">
        <f>IF(11=11,IF($U11="","",SUMPRODUCT(--ISNUMBER(SEARCH(" "&amp;$CR$184:$CR$205&amp;" ",$AD11)))),"")</f>
        <v>0</v>
      </c>
      <c r="AF11" s="581" t="str">
        <f>IF(11=11,IF($U11="","",IF(SUM(AB11:AC11)+SUMPRODUCT(--ISNUMBER(SEARCH(" "&amp;$CR$2418:$CR$2420&amp;" ",$AD11)))&gt;0,"X",IF(AE11&gt;0,"?",""))),"")</f>
        <v/>
      </c>
      <c r="AG11" s="581">
        <f>IF(11=11,IF($U11="","",SUMPRODUCT(--ISNUMBER(SEARCH(" "&amp;$CR$206:$CR$305&amp;" ",$AA11)))),"")</f>
        <v>0</v>
      </c>
      <c r="AH11" s="581">
        <f>IF(11=11,IF($U11="","",SUMPRODUCT(--ISNUMBER(SEARCH(" "&amp;$CR$306:$CR$340&amp;" ",$AA11)))),"")</f>
        <v>0</v>
      </c>
      <c r="AI11" s="581" t="str">
        <f>IF(11=11,IF($U11="","",IF((SUM(AG11:AH11))-(0)&gt;0,"X",IF((0)-(0)&gt;0,"?",""))),"")</f>
        <v/>
      </c>
      <c r="AJ11" s="581">
        <f>IF(11=11,IF($U11="","",SUMPRODUCT(--ISNUMBER(SEARCH(" "&amp;$CR$341:$CR$398&amp;" ",$AA11)))),"")</f>
        <v>0</v>
      </c>
      <c r="AK11" s="581">
        <f>IF(11=11,IF($U11="","",SUMPRODUCT(--ISNUMBER(SEARCH(" "&amp;$CR$399:$CR$426&amp;" ",$AL11)))+SUMPRODUCT(--ISNUMBER(SEARCH(" "&amp;$CR$2440:$CR$2453&amp;" ",$AL11)))),"")</f>
        <v>0</v>
      </c>
      <c r="AL11" s="581" t="str">
        <f>IF(11=11,IF($U11="","",SUBSTITUTE(SUBSTITUTE(SUBSTITUTE(SUBSTITUTE(SUBSTITUTE(SUBSTITUTE(SUBSTITUTE(SUBSTITUTE(SUBSTITUTE(SUBSTITUTE(SUBSTITUTE(SUBSTITUTE(SUBSTITUTE($AA11," "&amp;$CR$433&amp;" "," ")," "&amp;$CR$431&amp;" "," ")," "&amp;$CR$2438&amp;" "," ")," "&amp;$CR$2439&amp;" "," ")," "&amp;$CR$428&amp;" "," ")," "&amp;$CR$432&amp;" "," ")," "&amp;$CR$434&amp;" "," ")," "&amp;$CR$429&amp;" "," ")," "&amp;$CR$427&amp;" "," ")," "&amp;$CR$1367&amp;" "," ")," "&amp;$CR$435&amp;" "," ")," "&amp;$CR$1366&amp;" "," ")," "&amp;$CR$430&amp;" "," ")),"")</f>
        <v xml:space="preserve"> ail hache surgele </v>
      </c>
      <c r="AM11" s="581" t="str">
        <f>IF(11=11,IF($U11="","",IF(AJ11&gt;0,"X",IF(AK11&gt;0,"?",""))),"")</f>
        <v/>
      </c>
      <c r="AN11" s="581">
        <f>IF(11=11,IF($U11="","",SUMPRODUCT(--ISNUMBER(SEARCH(" "&amp;$CR$436:$CR$535&amp;" ",$AX11)))),"")</f>
        <v>0</v>
      </c>
      <c r="AO11" s="581">
        <f>IF(11=11,IF($U11="","",SUMPRODUCT(--ISNUMBER(SEARCH(" "&amp;$CR$536:$CR$635&amp;" ",$AX11)))),"")</f>
        <v>0</v>
      </c>
      <c r="AP11" s="581">
        <f>IF(11=11,IF($U11="","",SUMPRODUCT(--ISNUMBER(SEARCH(" "&amp;$CR$636:$CR$735&amp;" ",$AX11)))),"")</f>
        <v>0</v>
      </c>
      <c r="AQ11" s="581">
        <f>IF(11=11,IF($U11="","",SUMPRODUCT(--ISNUMBER(SEARCH(" "&amp;$CR$736:$CR$835&amp;" ",$AX11)))),"")</f>
        <v>0</v>
      </c>
      <c r="AR11" s="581">
        <f>IF(11=11,IF($U11="","",SUMPRODUCT(--ISNUMBER(SEARCH(" "&amp;$CR$836:$CR$935&amp;" ",$AX11)))),"")</f>
        <v>0</v>
      </c>
      <c r="AS11" s="581">
        <f>IF(11=11,IF($U11="","",SUMPRODUCT(--ISNUMBER(SEARCH(" "&amp;$CR$936:$CR$1035&amp;" ",$AX11)))),"")</f>
        <v>0</v>
      </c>
      <c r="AT11" s="581">
        <f>IF(11=11,IF($U11="","",SUMPRODUCT(--ISNUMBER(SEARCH(" "&amp;$CR$1036:$CR$1135&amp;" ",$AX11)))),"")</f>
        <v>0</v>
      </c>
      <c r="AU11" s="581">
        <f>IF(11=11,IF($U11="","",SUMPRODUCT(--ISNUMBER(SEARCH(" "&amp;$CR$1136:$CR$1235&amp;" ",$AX11)))),"")</f>
        <v>0</v>
      </c>
      <c r="AV11" s="581">
        <f>IF(11=11,IF($U11="","",SUMPRODUCT(--ISNUMBER(SEARCH(" "&amp;$CR$1236:$CR$1335&amp;" ",$AX11)))),"")</f>
        <v>0</v>
      </c>
      <c r="AW11" s="581">
        <f>IF(11=11,IF($U11="","",SUMPRODUCT(--ISNUMBER(SEARCH(" "&amp;$CR$1336:$CR$1363&amp;" ",$AX11)))),"")</f>
        <v>0</v>
      </c>
      <c r="AX11" s="581" t="str">
        <f>IF(11=11,IF($U11="","",SUBSTITUTE(SUBSTITUTE(SUBSTITUTE(SUBSTITUTE(SUBSTITUTE(SUBSTITUTE(SUBSTITUTE(SUBSTITUTE(SUBSTITUTE($AA11," "&amp;$CR$1365&amp;" "," ")," "&amp;$CR$1364&amp;" "," ")," "&amp;$CR$1370&amp;" "," ")," "&amp;$CR$1371&amp;" "," ")," "&amp;$CR$1367&amp;" "," ")," "&amp;$CR$1369&amp;" "," ")," "&amp;$CR$1366&amp;" "," ")," "&amp;$CR$1368&amp;" "," ")," "&amp;$CR$1372&amp;" "," ")),"")</f>
        <v xml:space="preserve"> ail hache surgele </v>
      </c>
      <c r="AY11" s="581">
        <f>IF(11=11,IF($U11="","",SUMPRODUCT(--ISNUMBER(SEARCH(" "&amp;$CR$1373:$CR$1383&amp;" ",$AX11)))),"")</f>
        <v>0</v>
      </c>
      <c r="AZ11" s="581" t="str">
        <f>IF(11=11,IF($U11="","",IF(SUM(AN11:AW11)+SUMPRODUCT(--ISNUMBER(SEARCH(" "&amp;$CR$2421:$CR$2422&amp;" ",$AX11)))&gt;0,"X",IF(AY11&gt;0,"?",""))),"")</f>
        <v/>
      </c>
      <c r="BA11" s="581">
        <f>IF(11=11,IF($U11="","",SUMPRODUCT(--ISNUMBER(SEARCH(" "&amp;$CR$1384:$CR$1404&amp;" ",$AA11)))),"")</f>
        <v>0</v>
      </c>
      <c r="BB11" s="581" t="str">
        <f>IF(11=11,IF($U11="","",IF((BA11)-(0)&gt;0,"X",IF((0)-(0)&gt;0,"?",""))),"")</f>
        <v/>
      </c>
      <c r="BC11" s="581">
        <f>IF(11=11,IF($U11="","",SUMPRODUCT(--ISNUMBER(SEARCH(" "&amp;$CR$1405:$CR$1442&amp;" ",$BD11)))),"")</f>
        <v>0</v>
      </c>
      <c r="BD11" s="581" t="str">
        <f>IF(11=11,IF($U11="","",SUBSTITUTE(SUBSTITUTE($AA11," "&amp;$CR$1443&amp;" "," ")," "&amp;$CR$1444&amp;" "," ")),"")</f>
        <v xml:space="preserve"> ail hache surgele </v>
      </c>
      <c r="BE11" s="581">
        <f>IF(11=11,IF($U11="","",SUMPRODUCT(--ISNUMBER(SEARCH(" "&amp;$CR$1445:$CR$1455&amp;" ",$BD11)))),"")</f>
        <v>0</v>
      </c>
      <c r="BF11" s="581" t="str">
        <f>IF(11=11,IF($U11="","",IF(BC11&gt;0,"X",IF(BE11&gt;0,"?",""))),"")</f>
        <v/>
      </c>
      <c r="BG11" s="581">
        <f>IF(11=11,IF($U11="","",SUMPRODUCT(--ISNUMBER(SEARCH(" "&amp;$CR$1456:$CR$1555&amp;" ",$BJ11)))),"")</f>
        <v>0</v>
      </c>
      <c r="BH11" s="581">
        <f>IF(11=11,IF($U11="","",SUMPRODUCT(--ISNUMBER(SEARCH(" "&amp;$CR$1556:$CR$1655&amp;" ",$BJ11)))),"")</f>
        <v>0</v>
      </c>
      <c r="BI11" s="581">
        <f>IF(11=11,IF($U11="","",SUMPRODUCT(--ISNUMBER(SEARCH(" "&amp;$CR$1656:$CR$1739&amp;" ",$BJ11)))),"")</f>
        <v>0</v>
      </c>
      <c r="BJ11" s="581"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surgele </v>
      </c>
      <c r="BK11" s="581">
        <f>IF(11=11,IF($U11="","",SUMPRODUCT(--ISNUMBER(SEARCH(" "&amp;$CR$1790:$CR$1869&amp;" ",$BL11)))+SUMPRODUCT(--ISNUMBER(SEARCH(" "&amp;$CR$2440:$CR$2453&amp;" ",$BL11)))),"")</f>
        <v>0</v>
      </c>
      <c r="BL11" s="581"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ail hache surgele </v>
      </c>
      <c r="BM11" s="581" t="str">
        <f>IF(11=11,IF($U11="","",IF(SUM(BG11:BI11)+SUMPRODUCT(--ISNUMBER(SEARCH(" "&amp;$CR$2423:$CR$2424&amp;" ",$BJ11)))&gt;0,"X",IF(BK11&gt;0,"?",""))),"")</f>
        <v/>
      </c>
      <c r="BN11" s="581">
        <f>IF(11=11,IF($U11="","",SUMPRODUCT(--ISNUMBER(SEARCH(" "&amp;$CR$1879:$CR$1936&amp;" ",$BO11)))),"")</f>
        <v>0</v>
      </c>
      <c r="BO11" s="581"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surgele </v>
      </c>
      <c r="BP11" s="581">
        <f>IF(11=11,IF($U11="","",SUMPRODUCT(--ISNUMBER(SEARCH(" "&amp;$CR$1960:$CR$1976&amp;" ",$BO11)))),"")</f>
        <v>0</v>
      </c>
      <c r="BQ11" s="581" t="str">
        <f>IF(11=11,IF($U11="","",IF(BN11&gt;0,"X",IF(BP11&gt;0,"?",""))),"")</f>
        <v/>
      </c>
      <c r="BR11" s="581">
        <f>IF(11=11,IF($U11="","",SUMPRODUCT(--ISNUMBER(SEARCH(" "&amp;$CR$1977:$CR$1990&amp;" ",$AA11)))),"")</f>
        <v>0</v>
      </c>
      <c r="BS11" s="581">
        <f>IF(11=11,IF($U11="","",SUMPRODUCT(--ISNUMBER(SEARCH(" "&amp;$CR$1991:$CR$2005&amp;" ",$AA11)))),"")</f>
        <v>0</v>
      </c>
      <c r="BT11" s="581" t="str">
        <f>IF(11=11,IF($U11="","",IF((BR11)-(0)&gt;0,"X",IF((BS11)-(0)&gt;0,"?",""))),"")</f>
        <v/>
      </c>
      <c r="BU11" s="581">
        <f>IF(11=11,IF($U11="","",SUMPRODUCT(--ISNUMBER(SEARCH(" "&amp;$CR$2006:$CR$2023&amp;" ",$AA11)))),"")</f>
        <v>0</v>
      </c>
      <c r="BV11" s="581">
        <f>IF(11=11,IF($U11="","",SUMPRODUCT(--ISNUMBER(SEARCH(" "&amp;$CR$2024:$CR$2038&amp;" ",$AA11)))),"")</f>
        <v>0</v>
      </c>
      <c r="BW11" s="581" t="str">
        <f>IF(11=11,IF($U11="","",IF((BU11)-(0)&gt;0,"X",IF((BV11)-(0)&gt;0,"?",""))),"")</f>
        <v/>
      </c>
      <c r="BX11" s="581">
        <f>IF(11=11,IF($U11="","",SUMPRODUCT(--ISNUMBER(SEARCH(" "&amp;$CR$2039:$CR$2057&amp;" ",$AA11)))),"")</f>
        <v>0</v>
      </c>
      <c r="BY11" s="581">
        <f>IF(11=11,IF($U11="","",SUMPRODUCT(--ISNUMBER(SEARCH(" "&amp;$CR$2058:$CR$2072&amp;" ",$AA11)))),"")</f>
        <v>0</v>
      </c>
      <c r="BZ11" s="581" t="str">
        <f>IF(11=11,IF($U11="","",IF((BX11)-(0)&gt;0,"X",IF((BY11)-(0)&gt;0,"?",""))),"")</f>
        <v/>
      </c>
      <c r="CA11" s="581">
        <f>IF(11=11,IF($U11="","",SUMPRODUCT(--ISNUMBER(SEARCH(" "&amp;$CR$2073:$CR$2093&amp;" ",$AA11)))),"")</f>
        <v>0</v>
      </c>
      <c r="CB11" s="581">
        <f>IF(11=11,IF($U11="","",SUMPRODUCT(--ISNUMBER(SEARCH(" "&amp;$CR$2094:$CR$2133&amp;" ",SUBSTITUTE(SUBSTITUTE($AA11," "&amp;$CR$1367&amp;" "," ")," "&amp;$CR$1366&amp;" "," "))))+--ISNUMBER(SEARCH("poiré",$V11))),"")</f>
        <v>0</v>
      </c>
      <c r="CC11" s="581" t="str">
        <f>IF(11=11,IF($U11="","",IF(OR(CA11&gt;0,ISNUMBER(SEARCH(" vinaigre de vin ",$AA11)),ISNUMBER(SEARCH(" vinaigre au vin ",$AA11))),"X",IF(CB11&gt;0,"?",""))),"")</f>
        <v/>
      </c>
      <c r="CD11" s="581">
        <f>IF(11=11,IF($U11="","",SUMPRODUCT(--ISNUMBER(SEARCH(" "&amp;$CR$2134:$CR$2146&amp;" ",$AA11)))),"")</f>
        <v>0</v>
      </c>
      <c r="CE11" s="581">
        <f>IF(11=11,IF($U11="","",SUMPRODUCT(--ISNUMBER(SEARCH(" "&amp;$CR$2147:$CR$2152&amp;" ",$AA11)))),"")</f>
        <v>0</v>
      </c>
      <c r="CF11" s="581" t="str">
        <f>IF(11=11,IF($U11="","",IF((CD11)-(0)&gt;0,"X",IF((CE11)-(0)&gt;0,"?",""))),"")</f>
        <v/>
      </c>
      <c r="CG11" s="581">
        <f>IF(11=11,IF($U11="","",SUMPRODUCT(--ISNUMBER(SEARCH(" "&amp;$CR$2153:$CR$2252&amp;" ",$CJ11)))),"")</f>
        <v>0</v>
      </c>
      <c r="CH11" s="581">
        <f>IF(11=11,IF($U11="","",SUMPRODUCT(--ISNUMBER(SEARCH(" "&amp;$CR$2253:$CR$2352&amp;" ",$CJ11)))),"")</f>
        <v>0</v>
      </c>
      <c r="CI11" s="581">
        <f>IF(11=11,IF($U11="","",SUMPRODUCT(--ISNUMBER(SEARCH(" "&amp;$CR$2353:$CR$2395&amp;" ",$CJ11)))),"")</f>
        <v>0</v>
      </c>
      <c r="CJ11" s="581"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ail hache surgele </v>
      </c>
      <c r="CK11" s="581">
        <f>IF(11=11,IF($U11="","",SUMPRODUCT(--ISNUMBER(SEARCH(" "&amp;$CR$2412:$CR$2416&amp;" ",$CJ11)))),"")</f>
        <v>0</v>
      </c>
      <c r="CL11" s="581" t="str">
        <f>IF(11=11,IF($U11="","",IF(SUM(CG11:CI11)&gt;0,"X",IF(CK11&gt;0,"?",""))),"")</f>
        <v/>
      </c>
      <c r="CM11" s="582"/>
      <c r="CN11" s="584" t="s">
        <v>1998</v>
      </c>
      <c r="CO11" s="584" t="s">
        <v>1887</v>
      </c>
      <c r="CP11" s="584" t="s">
        <v>1888</v>
      </c>
      <c r="CQ11" s="584" t="s">
        <v>1999</v>
      </c>
      <c r="CR11" s="584" t="s">
        <v>1999</v>
      </c>
      <c r="CS11" s="584" t="s">
        <v>1890</v>
      </c>
      <c r="CT11" s="584" t="s">
        <v>1891</v>
      </c>
      <c r="CU11" s="584" t="s">
        <v>1892</v>
      </c>
      <c r="CV11" s="585" t="s">
        <v>1893</v>
      </c>
    </row>
    <row r="12" spans="1:101" ht="21.95" customHeight="1" x14ac:dyDescent="0.25">
      <c r="A12" s="597">
        <v>6</v>
      </c>
      <c r="B12" s="598" t="s">
        <v>2000</v>
      </c>
      <c r="C12" s="599" t="str">
        <f t="shared" si="0"/>
        <v>Bouquet garni</v>
      </c>
      <c r="D12" s="600"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601" t="str">
        <f>IF(12=12,IF($B12="","",AF12),"")</f>
        <v/>
      </c>
      <c r="F12" s="601" t="str">
        <f>IF(12=12,IF($B12="","",AI12),"")</f>
        <v/>
      </c>
      <c r="G12" s="601" t="str">
        <f>IF(12=12,IF($B12="","",AM12),"")</f>
        <v/>
      </c>
      <c r="H12" s="601" t="str">
        <f>IF(12=12,IF($B12="","",AZ12),"")</f>
        <v/>
      </c>
      <c r="I12" s="601" t="str">
        <f>IF(12=12,IF($B12="","",BB12),"")</f>
        <v/>
      </c>
      <c r="J12" s="601" t="str">
        <f>IF(12=12,IF($B12="","",BF12),"")</f>
        <v/>
      </c>
      <c r="K12" s="601" t="str">
        <f>IF(12=12,IF($B12="","",BM12),"")</f>
        <v/>
      </c>
      <c r="L12" s="601" t="str">
        <f>IF(12=12,IF($B12="","",BQ12),"")</f>
        <v/>
      </c>
      <c r="M12" s="601" t="str">
        <f>IF(12=12,IF($B12="","",BT12),"")</f>
        <v/>
      </c>
      <c r="N12" s="601" t="str">
        <f>IF(12=12,IF($B12="","",BW12),"")</f>
        <v/>
      </c>
      <c r="O12" s="601" t="str">
        <f>IF(12=12,IF($B12="","",BZ12),"")</f>
        <v/>
      </c>
      <c r="P12" s="601" t="str">
        <f>IF(12=12,IF($B12="","",CC12),"")</f>
        <v/>
      </c>
      <c r="Q12" s="601" t="str">
        <f>IF(12=12,IF($B12="","",CF12),"")</f>
        <v/>
      </c>
      <c r="R12" s="601" t="str">
        <f>IF(12=12,IF($B12="","",CL12),"")</f>
        <v/>
      </c>
      <c r="S12" s="602"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581" t="str">
        <f>IF(12=12,IF($B12="","",$B12),"")</f>
        <v>Bouquet garni</v>
      </c>
      <c r="V12" s="581" t="str">
        <f>IF(12=12,LOWER(CLEAN(SUBSTITUTE(SUBSTITUTE(SUBSTITUTE(SUBSTITUTE($U12,CHAR(160)," ")," "," "),CHAR(10)," "),CHAR(13)," "))),"")</f>
        <v>bouquet garni</v>
      </c>
      <c r="W12" s="581" t="str">
        <f>IF(12=12,SUBSTITUTE(SUBSTITUTE(SUBSTITUTE(SUBSTITUTE(SUBSTITUTE(SUBSTITUTE(SUBSTITUTE(SUBSTITUTE(SUBSTITUTE(SUBSTITUTE(SUBSTITUTE(SUBSTITUTE($V12,"œ","oe"),"æ","ae"),"à","a"),"á","a"),"â","a"),"ä","a"),"ã","a"),"ç","c"),"è","e"),"é","e"),"ê","e"),"ë","e"),"")</f>
        <v>bouquet garni</v>
      </c>
      <c r="X12" s="581" t="str">
        <f>IF(12=12,SUBSTITUTE(SUBSTITUTE(SUBSTITUTE(SUBSTITUTE(SUBSTITUTE(SUBSTITUTE(SUBSTITUTE(SUBSTITUTE(SUBSTITUTE(SUBSTITUTE(SUBSTITUTE(SUBSTITUTE(SUBSTITUTE(SUBSTITUTE(SUBSTITUTE(SUBSTITUTE($W12,"ì","i"),"í","i"),"î","i"),"ï","i"),"ñ","n"),"ò","o"),"ó","o"),"ô","o"),"ö","o"),"õ","o"),"ù","u"),"ú","u"),"û","u"),"ü","u"),"ý","y"),"ÿ","y"),"")</f>
        <v>bouquet garni</v>
      </c>
      <c r="Y12" s="581" t="str">
        <f>IF(12=12,SUBSTITUTE(SUBSTITUTE(SUBSTITUTE(SUBSTITUTE(SUBSTITUTE(SUBSTITUTE(SUBSTITUTE(SUBSTITUTE(SUBSTITUTE(SUBSTITUTE(SUBSTITUTE(SUBSTITUTE(SUBSTITUTE(SUBSTITUTE($X12,"’"," "),"`"," "),"–"," "),"—"," "),"-"," "),"'"," "),"/"," "),"_"," "),","," "),"."," "),"("," "),")"," "),";"," "),":"," "),"")</f>
        <v>bouquet garni</v>
      </c>
      <c r="Z12" s="581" t="str">
        <f>IF(12=12,SUBSTITUTE(SUBSTITUTE(SUBSTITUTE(SUBSTITUTE(SUBSTITUTE(SUBSTITUTE(SUBSTITUTE(SUBSTITUTE(SUBSTITUTE(SUBSTITUTE(SUBSTITUTE(SUBSTITUTE(SUBSTITUTE(SUBSTITUTE(SUBSTITUTE($Y12,"!"," "),"?"," "),"+"," "),"*"," "),"&amp;"," "),"["," "),"]"," "),"{"," "),"}"," "),"%"," "),"="," "),"\"," "),"|"," "),"&lt;"," "),"&gt;"," "),"")</f>
        <v>bouquet garni</v>
      </c>
      <c r="AA12" s="581" t="str">
        <f>IF(12=12," "&amp;TRIM(SUBSTITUTE(SUBSTITUTE(SUBSTITUTE(SUBSTITUTE(SUBSTITUTE(SUBSTITUTE($Z12,CHAR(34)," "),"  "," "),"  "," "),"  "," "),"  "," "),"  "," "))&amp;" ","")</f>
        <v xml:space="preserve"> bouquet garni </v>
      </c>
      <c r="AB12" s="581">
        <f>IF(12=12,IF($U12="","",SUMPRODUCT(--ISNUMBER(SEARCH(" "&amp;$CR$2:$CR$101&amp;" ",$AD12)))),"")</f>
        <v>0</v>
      </c>
      <c r="AC12" s="581">
        <f>IF(12=12,IF($U12="","",SUMPRODUCT(--ISNUMBER(SEARCH(" "&amp;$CR$102:$CR$151&amp;" ",$AD12)))),"")</f>
        <v>0</v>
      </c>
      <c r="AD12" s="581" t="e">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2" s="581">
        <f>IF(12=12,IF($U12="","",SUMPRODUCT(--ISNUMBER(SEARCH(" "&amp;$CR$184:$CR$205&amp;" ",$AD12)))),"")</f>
        <v>0</v>
      </c>
      <c r="AF12" s="581" t="str">
        <f>IF(12=12,IF($U12="","",IF(SUM(AB12:AC12)+SUMPRODUCT(--ISNUMBER(SEARCH(" "&amp;$CR$2418:$CR$2420&amp;" ",$AD12)))&gt;0,"X",IF(AE12&gt;0,"?",""))),"")</f>
        <v/>
      </c>
      <c r="AG12" s="581">
        <f>IF(12=12,IF($U12="","",SUMPRODUCT(--ISNUMBER(SEARCH(" "&amp;$CR$206:$CR$305&amp;" ",$AA12)))),"")</f>
        <v>0</v>
      </c>
      <c r="AH12" s="581">
        <f>IF(12=12,IF($U12="","",SUMPRODUCT(--ISNUMBER(SEARCH(" "&amp;$CR$306:$CR$340&amp;" ",$AA12)))),"")</f>
        <v>0</v>
      </c>
      <c r="AI12" s="581" t="str">
        <f>IF(12=12,IF($U12="","",IF((SUM(AG12:AH12))-(0)&gt;0,"X",IF((0)-(0)&gt;0,"?",""))),"")</f>
        <v/>
      </c>
      <c r="AJ12" s="581">
        <f>IF(12=12,IF($U12="","",SUMPRODUCT(--ISNUMBER(SEARCH(" "&amp;$CR$341:$CR$398&amp;" ",$AA12)))),"")</f>
        <v>0</v>
      </c>
      <c r="AK12" s="581">
        <f>IF(12=12,IF($U12="","",SUMPRODUCT(--ISNUMBER(SEARCH(" "&amp;$CR$399:$CR$426&amp;" ",$AL12)))+SUMPRODUCT(--ISNUMBER(SEARCH(" "&amp;$CR$2440:$CR$2453&amp;" ",$AL12)))),"")</f>
        <v>0</v>
      </c>
      <c r="AL12" s="581" t="str">
        <f>IF(12=12,IF($U12="","",SUBSTITUTE(SUBSTITUTE(SUBSTITUTE(SUBSTITUTE(SUBSTITUTE(SUBSTITUTE(SUBSTITUTE(SUBSTITUTE(SUBSTITUTE(SUBSTITUTE(SUBSTITUTE(SUBSTITUTE(SUBSTITUTE($AA12," "&amp;$CR$433&amp;" "," ")," "&amp;$CR$431&amp;" "," ")," "&amp;$CR$2438&amp;" "," ")," "&amp;$CR$2439&amp;" "," ")," "&amp;$CR$428&amp;" "," ")," "&amp;$CR$432&amp;" "," ")," "&amp;$CR$434&amp;" "," ")," "&amp;$CR$429&amp;" "," ")," "&amp;$CR$427&amp;" "," ")," "&amp;$CR$1367&amp;" "," ")," "&amp;$CR$435&amp;" "," ")," "&amp;$CR$1366&amp;" "," ")," "&amp;$CR$430&amp;" "," ")),"")</f>
        <v xml:space="preserve"> bouquet garni </v>
      </c>
      <c r="AM12" s="581" t="str">
        <f>IF(12=12,IF($U12="","",IF(AJ12&gt;0,"X",IF(AK12&gt;0,"?",""))),"")</f>
        <v/>
      </c>
      <c r="AN12" s="581">
        <f>IF(12=12,IF($U12="","",SUMPRODUCT(--ISNUMBER(SEARCH(" "&amp;$CR$436:$CR$535&amp;" ",$AX12)))),"")</f>
        <v>0</v>
      </c>
      <c r="AO12" s="581">
        <f>IF(12=12,IF($U12="","",SUMPRODUCT(--ISNUMBER(SEARCH(" "&amp;$CR$536:$CR$635&amp;" ",$AX12)))),"")</f>
        <v>0</v>
      </c>
      <c r="AP12" s="581">
        <f>IF(12=12,IF($U12="","",SUMPRODUCT(--ISNUMBER(SEARCH(" "&amp;$CR$636:$CR$735&amp;" ",$AX12)))),"")</f>
        <v>0</v>
      </c>
      <c r="AQ12" s="581">
        <f>IF(12=12,IF($U12="","",SUMPRODUCT(--ISNUMBER(SEARCH(" "&amp;$CR$736:$CR$835&amp;" ",$AX12)))),"")</f>
        <v>0</v>
      </c>
      <c r="AR12" s="581">
        <f>IF(12=12,IF($U12="","",SUMPRODUCT(--ISNUMBER(SEARCH(" "&amp;$CR$836:$CR$935&amp;" ",$AX12)))),"")</f>
        <v>0</v>
      </c>
      <c r="AS12" s="581">
        <f>IF(12=12,IF($U12="","",SUMPRODUCT(--ISNUMBER(SEARCH(" "&amp;$CR$936:$CR$1035&amp;" ",$AX12)))),"")</f>
        <v>0</v>
      </c>
      <c r="AT12" s="581">
        <f>IF(12=12,IF($U12="","",SUMPRODUCT(--ISNUMBER(SEARCH(" "&amp;$CR$1036:$CR$1135&amp;" ",$AX12)))),"")</f>
        <v>0</v>
      </c>
      <c r="AU12" s="581">
        <f>IF(12=12,IF($U12="","",SUMPRODUCT(--ISNUMBER(SEARCH(" "&amp;$CR$1136:$CR$1235&amp;" ",$AX12)))),"")</f>
        <v>0</v>
      </c>
      <c r="AV12" s="581">
        <f>IF(12=12,IF($U12="","",SUMPRODUCT(--ISNUMBER(SEARCH(" "&amp;$CR$1236:$CR$1335&amp;" ",$AX12)))),"")</f>
        <v>0</v>
      </c>
      <c r="AW12" s="581">
        <f>IF(12=12,IF($U12="","",SUMPRODUCT(--ISNUMBER(SEARCH(" "&amp;$CR$1336:$CR$1363&amp;" ",$AX12)))),"")</f>
        <v>0</v>
      </c>
      <c r="AX12" s="581" t="str">
        <f>IF(12=12,IF($U12="","",SUBSTITUTE(SUBSTITUTE(SUBSTITUTE(SUBSTITUTE(SUBSTITUTE(SUBSTITUTE(SUBSTITUTE(SUBSTITUTE(SUBSTITUTE($AA12," "&amp;$CR$1365&amp;" "," ")," "&amp;$CR$1364&amp;" "," ")," "&amp;$CR$1370&amp;" "," ")," "&amp;$CR$1371&amp;" "," ")," "&amp;$CR$1367&amp;" "," ")," "&amp;$CR$1369&amp;" "," ")," "&amp;$CR$1366&amp;" "," ")," "&amp;$CR$1368&amp;" "," ")," "&amp;$CR$1372&amp;" "," ")),"")</f>
        <v xml:space="preserve"> bouquet garni </v>
      </c>
      <c r="AY12" s="581">
        <f>IF(12=12,IF($U12="","",SUMPRODUCT(--ISNUMBER(SEARCH(" "&amp;$CR$1373:$CR$1383&amp;" ",$AX12)))),"")</f>
        <v>0</v>
      </c>
      <c r="AZ12" s="581" t="str">
        <f>IF(12=12,IF($U12="","",IF(SUM(AN12:AW12)+SUMPRODUCT(--ISNUMBER(SEARCH(" "&amp;$CR$2421:$CR$2422&amp;" ",$AX12)))&gt;0,"X",IF(AY12&gt;0,"?",""))),"")</f>
        <v/>
      </c>
      <c r="BA12" s="581">
        <f>IF(12=12,IF($U12="","",SUMPRODUCT(--ISNUMBER(SEARCH(" "&amp;$CR$1384:$CR$1404&amp;" ",$AA12)))),"")</f>
        <v>0</v>
      </c>
      <c r="BB12" s="581" t="str">
        <f>IF(12=12,IF($U12="","",IF((BA12)-(0)&gt;0,"X",IF((0)-(0)&gt;0,"?",""))),"")</f>
        <v/>
      </c>
      <c r="BC12" s="581">
        <f>IF(12=12,IF($U12="","",SUMPRODUCT(--ISNUMBER(SEARCH(" "&amp;$CR$1405:$CR$1442&amp;" ",$BD12)))),"")</f>
        <v>0</v>
      </c>
      <c r="BD12" s="581" t="str">
        <f>IF(12=12,IF($U12="","",SUBSTITUTE(SUBSTITUTE($AA12," "&amp;$CR$1443&amp;" "," ")," "&amp;$CR$1444&amp;" "," ")),"")</f>
        <v xml:space="preserve"> bouquet garni </v>
      </c>
      <c r="BE12" s="581">
        <f>IF(12=12,IF($U12="","",SUMPRODUCT(--ISNUMBER(SEARCH(" "&amp;$CR$1445:$CR$1455&amp;" ",$BD12)))),"")</f>
        <v>0</v>
      </c>
      <c r="BF12" s="581" t="str">
        <f>IF(12=12,IF($U12="","",IF(BC12&gt;0,"X",IF(BE12&gt;0,"?",""))),"")</f>
        <v/>
      </c>
      <c r="BG12" s="581">
        <f>IF(12=12,IF($U12="","",SUMPRODUCT(--ISNUMBER(SEARCH(" "&amp;$CR$1456:$CR$1555&amp;" ",$BJ12)))),"")</f>
        <v>0</v>
      </c>
      <c r="BH12" s="581">
        <f>IF(12=12,IF($U12="","",SUMPRODUCT(--ISNUMBER(SEARCH(" "&amp;$CR$1556:$CR$1655&amp;" ",$BJ12)))),"")</f>
        <v>0</v>
      </c>
      <c r="BI12" s="581">
        <f>IF(12=12,IF($U12="","",SUMPRODUCT(--ISNUMBER(SEARCH(" "&amp;$CR$1656:$CR$1739&amp;" ",$BJ12)))),"")</f>
        <v>0</v>
      </c>
      <c r="BJ12" s="581"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bouquet garni </v>
      </c>
      <c r="BK12" s="581">
        <f>IF(12=12,IF($U12="","",SUMPRODUCT(--ISNUMBER(SEARCH(" "&amp;$CR$1790:$CR$1869&amp;" ",$BL12)))+SUMPRODUCT(--ISNUMBER(SEARCH(" "&amp;$CR$2440:$CR$2453&amp;" ",$BL12)))),"")</f>
        <v>0</v>
      </c>
      <c r="BL12" s="581"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bouquet garni </v>
      </c>
      <c r="BM12" s="581" t="str">
        <f>IF(12=12,IF($U12="","",IF(SUM(BG12:BI12)+SUMPRODUCT(--ISNUMBER(SEARCH(" "&amp;$CR$2423:$CR$2424&amp;" ",$BJ12)))&gt;0,"X",IF(BK12&gt;0,"?",""))),"")</f>
        <v/>
      </c>
      <c r="BN12" s="581">
        <f>IF(12=12,IF($U12="","",SUMPRODUCT(--ISNUMBER(SEARCH(" "&amp;$CR$1879:$CR$1936&amp;" ",$BO12)))),"")</f>
        <v>0</v>
      </c>
      <c r="BO12" s="581"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bouquet garni </v>
      </c>
      <c r="BP12" s="581">
        <f>IF(12=12,IF($U12="","",SUMPRODUCT(--ISNUMBER(SEARCH(" "&amp;$CR$1960:$CR$1976&amp;" ",$BO12)))),"")</f>
        <v>0</v>
      </c>
      <c r="BQ12" s="581" t="str">
        <f>IF(12=12,IF($U12="","",IF(BN12&gt;0,"X",IF(BP12&gt;0,"?",""))),"")</f>
        <v/>
      </c>
      <c r="BR12" s="581">
        <f>IF(12=12,IF($U12="","",SUMPRODUCT(--ISNUMBER(SEARCH(" "&amp;$CR$1977:$CR$1990&amp;" ",$AA12)))),"")</f>
        <v>0</v>
      </c>
      <c r="BS12" s="581">
        <f>IF(12=12,IF($U12="","",SUMPRODUCT(--ISNUMBER(SEARCH(" "&amp;$CR$1991:$CR$2005&amp;" ",$AA12)))),"")</f>
        <v>0</v>
      </c>
      <c r="BT12" s="581" t="str">
        <f>IF(12=12,IF($U12="","",IF((BR12)-(0)&gt;0,"X",IF((BS12)-(0)&gt;0,"?",""))),"")</f>
        <v/>
      </c>
      <c r="BU12" s="581">
        <f>IF(12=12,IF($U12="","",SUMPRODUCT(--ISNUMBER(SEARCH(" "&amp;$CR$2006:$CR$2023&amp;" ",$AA12)))),"")</f>
        <v>0</v>
      </c>
      <c r="BV12" s="581">
        <f>IF(12=12,IF($U12="","",SUMPRODUCT(--ISNUMBER(SEARCH(" "&amp;$CR$2024:$CR$2038&amp;" ",$AA12)))),"")</f>
        <v>0</v>
      </c>
      <c r="BW12" s="581" t="str">
        <f>IF(12=12,IF($U12="","",IF((BU12)-(0)&gt;0,"X",IF((BV12)-(0)&gt;0,"?",""))),"")</f>
        <v/>
      </c>
      <c r="BX12" s="581">
        <f>IF(12=12,IF($U12="","",SUMPRODUCT(--ISNUMBER(SEARCH(" "&amp;$CR$2039:$CR$2057&amp;" ",$AA12)))),"")</f>
        <v>0</v>
      </c>
      <c r="BY12" s="581">
        <f>IF(12=12,IF($U12="","",SUMPRODUCT(--ISNUMBER(SEARCH(" "&amp;$CR$2058:$CR$2072&amp;" ",$AA12)))),"")</f>
        <v>0</v>
      </c>
      <c r="BZ12" s="581" t="str">
        <f>IF(12=12,IF($U12="","",IF((BX12)-(0)&gt;0,"X",IF((BY12)-(0)&gt;0,"?",""))),"")</f>
        <v/>
      </c>
      <c r="CA12" s="581">
        <f>IF(12=12,IF($U12="","",SUMPRODUCT(--ISNUMBER(SEARCH(" "&amp;$CR$2073:$CR$2093&amp;" ",$AA12)))),"")</f>
        <v>0</v>
      </c>
      <c r="CB12" s="581">
        <f>IF(12=12,IF($U12="","",SUMPRODUCT(--ISNUMBER(SEARCH(" "&amp;$CR$2094:$CR$2133&amp;" ",SUBSTITUTE(SUBSTITUTE($AA12," "&amp;$CR$1367&amp;" "," ")," "&amp;$CR$1366&amp;" "," "))))+--ISNUMBER(SEARCH("poiré",$V12))),"")</f>
        <v>0</v>
      </c>
      <c r="CC12" s="581" t="str">
        <f>IF(12=12,IF($U12="","",IF(OR(CA12&gt;0,ISNUMBER(SEARCH(" vinaigre de vin ",$AA12)),ISNUMBER(SEARCH(" vinaigre au vin ",$AA12))),"X",IF(CB12&gt;0,"?",""))),"")</f>
        <v/>
      </c>
      <c r="CD12" s="581">
        <f>IF(12=12,IF($U12="","",SUMPRODUCT(--ISNUMBER(SEARCH(" "&amp;$CR$2134:$CR$2146&amp;" ",$AA12)))),"")</f>
        <v>0</v>
      </c>
      <c r="CE12" s="581">
        <f>IF(12=12,IF($U12="","",SUMPRODUCT(--ISNUMBER(SEARCH(" "&amp;$CR$2147:$CR$2152&amp;" ",$AA12)))),"")</f>
        <v>0</v>
      </c>
      <c r="CF12" s="581" t="str">
        <f>IF(12=12,IF($U12="","",IF((CD12)-(0)&gt;0,"X",IF((CE12)-(0)&gt;0,"?",""))),"")</f>
        <v/>
      </c>
      <c r="CG12" s="581">
        <f>IF(12=12,IF($U12="","",SUMPRODUCT(--ISNUMBER(SEARCH(" "&amp;$CR$2153:$CR$2252&amp;" ",$CJ12)))),"")</f>
        <v>0</v>
      </c>
      <c r="CH12" s="581">
        <f>IF(12=12,IF($U12="","",SUMPRODUCT(--ISNUMBER(SEARCH(" "&amp;$CR$2253:$CR$2352&amp;" ",$CJ12)))),"")</f>
        <v>0</v>
      </c>
      <c r="CI12" s="581">
        <f>IF(12=12,IF($U12="","",SUMPRODUCT(--ISNUMBER(SEARCH(" "&amp;$CR$2353:$CR$2395&amp;" ",$CJ12)))),"")</f>
        <v>0</v>
      </c>
      <c r="CJ12" s="581"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bouquet garni </v>
      </c>
      <c r="CK12" s="581">
        <f>IF(12=12,IF($U12="","",SUMPRODUCT(--ISNUMBER(SEARCH(" "&amp;$CR$2412:$CR$2416&amp;" ",$CJ12)))),"")</f>
        <v>0</v>
      </c>
      <c r="CL12" s="581" t="str">
        <f>IF(12=12,IF($U12="","",IF(SUM(CG12:CI12)&gt;0,"X",IF(CK12&gt;0,"?",""))),"")</f>
        <v/>
      </c>
      <c r="CM12" s="582"/>
      <c r="CN12" s="584" t="s">
        <v>2001</v>
      </c>
      <c r="CO12" s="584" t="s">
        <v>1887</v>
      </c>
      <c r="CP12" s="584" t="s">
        <v>1888</v>
      </c>
      <c r="CQ12" s="584" t="s">
        <v>2002</v>
      </c>
      <c r="CR12" s="584" t="s">
        <v>2002</v>
      </c>
      <c r="CS12" s="584" t="s">
        <v>1890</v>
      </c>
      <c r="CT12" s="584" t="s">
        <v>1891</v>
      </c>
      <c r="CU12" s="584" t="s">
        <v>1892</v>
      </c>
      <c r="CV12" s="585" t="s">
        <v>1893</v>
      </c>
    </row>
    <row r="13" spans="1:101" ht="21.95" customHeight="1" x14ac:dyDescent="0.25">
      <c r="A13" s="597">
        <v>7</v>
      </c>
      <c r="B13" s="598" t="s">
        <v>2003</v>
      </c>
      <c r="C13" s="599" t="str">
        <f t="shared" si="0"/>
        <v>Baies de genièvre</v>
      </c>
      <c r="D13" s="600"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601" t="str">
        <f>IF(13=13,IF($B13="","",AF13),"")</f>
        <v/>
      </c>
      <c r="F13" s="601" t="str">
        <f>IF(13=13,IF($B13="","",AI13),"")</f>
        <v/>
      </c>
      <c r="G13" s="601" t="str">
        <f>IF(13=13,IF($B13="","",AM13),"")</f>
        <v/>
      </c>
      <c r="H13" s="601" t="str">
        <f>IF(13=13,IF($B13="","",AZ13),"")</f>
        <v/>
      </c>
      <c r="I13" s="601" t="str">
        <f>IF(13=13,IF($B13="","",BB13),"")</f>
        <v/>
      </c>
      <c r="J13" s="601" t="str">
        <f>IF(13=13,IF($B13="","",BF13),"")</f>
        <v/>
      </c>
      <c r="K13" s="601" t="str">
        <f>IF(13=13,IF($B13="","",BM13),"")</f>
        <v/>
      </c>
      <c r="L13" s="601" t="str">
        <f>IF(13=13,IF($B13="","",BQ13),"")</f>
        <v/>
      </c>
      <c r="M13" s="601" t="str">
        <f>IF(13=13,IF($B13="","",BT13),"")</f>
        <v/>
      </c>
      <c r="N13" s="601" t="str">
        <f>IF(13=13,IF($B13="","",BW13),"")</f>
        <v/>
      </c>
      <c r="O13" s="601" t="str">
        <f>IF(13=13,IF($B13="","",BZ13),"")</f>
        <v/>
      </c>
      <c r="P13" s="601" t="str">
        <f>IF(13=13,IF($B13="","",CC13),"")</f>
        <v/>
      </c>
      <c r="Q13" s="601" t="str">
        <f>IF(13=13,IF($B13="","",CF13),"")</f>
        <v/>
      </c>
      <c r="R13" s="601" t="str">
        <f>IF(13=13,IF($B13="","",CL13),"")</f>
        <v/>
      </c>
      <c r="S13" s="602"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581" t="str">
        <f>IF(13=13,IF($B13="","",$B13),"")</f>
        <v>Baies de genièvre</v>
      </c>
      <c r="V13" s="581" t="str">
        <f>IF(13=13,LOWER(CLEAN(SUBSTITUTE(SUBSTITUTE(SUBSTITUTE(SUBSTITUTE($U13,CHAR(160)," ")," "," "),CHAR(10)," "),CHAR(13)," "))),"")</f>
        <v>baies de genièvre</v>
      </c>
      <c r="W13" s="581" t="str">
        <f>IF(13=13,SUBSTITUTE(SUBSTITUTE(SUBSTITUTE(SUBSTITUTE(SUBSTITUTE(SUBSTITUTE(SUBSTITUTE(SUBSTITUTE(SUBSTITUTE(SUBSTITUTE(SUBSTITUTE(SUBSTITUTE($V13,"œ","oe"),"æ","ae"),"à","a"),"á","a"),"â","a"),"ä","a"),"ã","a"),"ç","c"),"è","e"),"é","e"),"ê","e"),"ë","e"),"")</f>
        <v>baies de genievre</v>
      </c>
      <c r="X13" s="581" t="str">
        <f>IF(13=13,SUBSTITUTE(SUBSTITUTE(SUBSTITUTE(SUBSTITUTE(SUBSTITUTE(SUBSTITUTE(SUBSTITUTE(SUBSTITUTE(SUBSTITUTE(SUBSTITUTE(SUBSTITUTE(SUBSTITUTE(SUBSTITUTE(SUBSTITUTE(SUBSTITUTE(SUBSTITUTE($W13,"ì","i"),"í","i"),"î","i"),"ï","i"),"ñ","n"),"ò","o"),"ó","o"),"ô","o"),"ö","o"),"õ","o"),"ù","u"),"ú","u"),"û","u"),"ü","u"),"ý","y"),"ÿ","y"),"")</f>
        <v>baies de genievre</v>
      </c>
      <c r="Y13" s="581" t="str">
        <f>IF(13=13,SUBSTITUTE(SUBSTITUTE(SUBSTITUTE(SUBSTITUTE(SUBSTITUTE(SUBSTITUTE(SUBSTITUTE(SUBSTITUTE(SUBSTITUTE(SUBSTITUTE(SUBSTITUTE(SUBSTITUTE(SUBSTITUTE(SUBSTITUTE($X13,"’"," "),"`"," "),"–"," "),"—"," "),"-"," "),"'"," "),"/"," "),"_"," "),","," "),"."," "),"("," "),")"," "),";"," "),":"," "),"")</f>
        <v>baies de genievre</v>
      </c>
      <c r="Z13" s="581" t="str">
        <f>IF(13=13,SUBSTITUTE(SUBSTITUTE(SUBSTITUTE(SUBSTITUTE(SUBSTITUTE(SUBSTITUTE(SUBSTITUTE(SUBSTITUTE(SUBSTITUTE(SUBSTITUTE(SUBSTITUTE(SUBSTITUTE(SUBSTITUTE(SUBSTITUTE(SUBSTITUTE($Y13,"!"," "),"?"," "),"+"," "),"*"," "),"&amp;"," "),"["," "),"]"," "),"{"," "),"}"," "),"%"," "),"="," "),"\"," "),"|"," "),"&lt;"," "),"&gt;"," "),"")</f>
        <v>baies de genievre</v>
      </c>
      <c r="AA13" s="581" t="str">
        <f>IF(13=13," "&amp;TRIM(SUBSTITUTE(SUBSTITUTE(SUBSTITUTE(SUBSTITUTE(SUBSTITUTE(SUBSTITUTE($Z13,CHAR(34)," "),"  "," "),"  "," "),"  "," "),"  "," "),"  "," "))&amp;" ","")</f>
        <v xml:space="preserve"> baies de genievre </v>
      </c>
      <c r="AB13" s="581">
        <f>IF(13=13,IF($U13="","",SUMPRODUCT(--ISNUMBER(SEARCH(" "&amp;$CR$2:$CR$101&amp;" ",$AD13)))),"")</f>
        <v>0</v>
      </c>
      <c r="AC13" s="581">
        <f>IF(13=13,IF($U13="","",SUMPRODUCT(--ISNUMBER(SEARCH(" "&amp;$CR$102:$CR$151&amp;" ",$AD13)))),"")</f>
        <v>0</v>
      </c>
      <c r="AD13" s="581" t="e">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3" s="581">
        <f>IF(13=13,IF($U13="","",SUMPRODUCT(--ISNUMBER(SEARCH(" "&amp;$CR$184:$CR$205&amp;" ",$AD13)))),"")</f>
        <v>0</v>
      </c>
      <c r="AF13" s="581" t="str">
        <f>IF(13=13,IF($U13="","",IF(SUM(AB13:AC13)+SUMPRODUCT(--ISNUMBER(SEARCH(" "&amp;$CR$2418:$CR$2420&amp;" ",$AD13)))&gt;0,"X",IF(AE13&gt;0,"?",""))),"")</f>
        <v/>
      </c>
      <c r="AG13" s="581">
        <f>IF(13=13,IF($U13="","",SUMPRODUCT(--ISNUMBER(SEARCH(" "&amp;$CR$206:$CR$305&amp;" ",$AA13)))),"")</f>
        <v>0</v>
      </c>
      <c r="AH13" s="581">
        <f>IF(13=13,IF($U13="","",SUMPRODUCT(--ISNUMBER(SEARCH(" "&amp;$CR$306:$CR$340&amp;" ",$AA13)))),"")</f>
        <v>0</v>
      </c>
      <c r="AI13" s="581" t="str">
        <f>IF(13=13,IF($U13="","",IF((SUM(AG13:AH13))-(0)&gt;0,"X",IF((0)-(0)&gt;0,"?",""))),"")</f>
        <v/>
      </c>
      <c r="AJ13" s="581">
        <f>IF(13=13,IF($U13="","",SUMPRODUCT(--ISNUMBER(SEARCH(" "&amp;$CR$341:$CR$398&amp;" ",$AA13)))),"")</f>
        <v>0</v>
      </c>
      <c r="AK13" s="581">
        <f>IF(13=13,IF($U13="","",SUMPRODUCT(--ISNUMBER(SEARCH(" "&amp;$CR$399:$CR$426&amp;" ",$AL13)))+SUMPRODUCT(--ISNUMBER(SEARCH(" "&amp;$CR$2440:$CR$2453&amp;" ",$AL13)))),"")</f>
        <v>0</v>
      </c>
      <c r="AL13" s="581" t="str">
        <f>IF(13=13,IF($U13="","",SUBSTITUTE(SUBSTITUTE(SUBSTITUTE(SUBSTITUTE(SUBSTITUTE(SUBSTITUTE(SUBSTITUTE(SUBSTITUTE(SUBSTITUTE(SUBSTITUTE(SUBSTITUTE(SUBSTITUTE(SUBSTITUTE($AA13," "&amp;$CR$433&amp;" "," ")," "&amp;$CR$431&amp;" "," ")," "&amp;$CR$2438&amp;" "," ")," "&amp;$CR$2439&amp;" "," ")," "&amp;$CR$428&amp;" "," ")," "&amp;$CR$432&amp;" "," ")," "&amp;$CR$434&amp;" "," ")," "&amp;$CR$429&amp;" "," ")," "&amp;$CR$427&amp;" "," ")," "&amp;$CR$1367&amp;" "," ")," "&amp;$CR$435&amp;" "," ")," "&amp;$CR$1366&amp;" "," ")," "&amp;$CR$430&amp;" "," ")),"")</f>
        <v xml:space="preserve"> baies de genievre </v>
      </c>
      <c r="AM13" s="581" t="str">
        <f>IF(13=13,IF($U13="","",IF(AJ13&gt;0,"X",IF(AK13&gt;0,"?",""))),"")</f>
        <v/>
      </c>
      <c r="AN13" s="581">
        <f>IF(13=13,IF($U13="","",SUMPRODUCT(--ISNUMBER(SEARCH(" "&amp;$CR$436:$CR$535&amp;" ",$AX13)))),"")</f>
        <v>0</v>
      </c>
      <c r="AO13" s="581">
        <f>IF(13=13,IF($U13="","",SUMPRODUCT(--ISNUMBER(SEARCH(" "&amp;$CR$536:$CR$635&amp;" ",$AX13)))),"")</f>
        <v>0</v>
      </c>
      <c r="AP13" s="581">
        <f>IF(13=13,IF($U13="","",SUMPRODUCT(--ISNUMBER(SEARCH(" "&amp;$CR$636:$CR$735&amp;" ",$AX13)))),"")</f>
        <v>0</v>
      </c>
      <c r="AQ13" s="581">
        <f>IF(13=13,IF($U13="","",SUMPRODUCT(--ISNUMBER(SEARCH(" "&amp;$CR$736:$CR$835&amp;" ",$AX13)))),"")</f>
        <v>0</v>
      </c>
      <c r="AR13" s="581">
        <f>IF(13=13,IF($U13="","",SUMPRODUCT(--ISNUMBER(SEARCH(" "&amp;$CR$836:$CR$935&amp;" ",$AX13)))),"")</f>
        <v>0</v>
      </c>
      <c r="AS13" s="581">
        <f>IF(13=13,IF($U13="","",SUMPRODUCT(--ISNUMBER(SEARCH(" "&amp;$CR$936:$CR$1035&amp;" ",$AX13)))),"")</f>
        <v>0</v>
      </c>
      <c r="AT13" s="581">
        <f>IF(13=13,IF($U13="","",SUMPRODUCT(--ISNUMBER(SEARCH(" "&amp;$CR$1036:$CR$1135&amp;" ",$AX13)))),"")</f>
        <v>0</v>
      </c>
      <c r="AU13" s="581">
        <f>IF(13=13,IF($U13="","",SUMPRODUCT(--ISNUMBER(SEARCH(" "&amp;$CR$1136:$CR$1235&amp;" ",$AX13)))),"")</f>
        <v>0</v>
      </c>
      <c r="AV13" s="581">
        <f>IF(13=13,IF($U13="","",SUMPRODUCT(--ISNUMBER(SEARCH(" "&amp;$CR$1236:$CR$1335&amp;" ",$AX13)))),"")</f>
        <v>0</v>
      </c>
      <c r="AW13" s="581">
        <f>IF(13=13,IF($U13="","",SUMPRODUCT(--ISNUMBER(SEARCH(" "&amp;$CR$1336:$CR$1363&amp;" ",$AX13)))),"")</f>
        <v>0</v>
      </c>
      <c r="AX13" s="581" t="str">
        <f>IF(13=13,IF($U13="","",SUBSTITUTE(SUBSTITUTE(SUBSTITUTE(SUBSTITUTE(SUBSTITUTE(SUBSTITUTE(SUBSTITUTE(SUBSTITUTE(SUBSTITUTE($AA13," "&amp;$CR$1365&amp;" "," ")," "&amp;$CR$1364&amp;" "," ")," "&amp;$CR$1370&amp;" "," ")," "&amp;$CR$1371&amp;" "," ")," "&amp;$CR$1367&amp;" "," ")," "&amp;$CR$1369&amp;" "," ")," "&amp;$CR$1366&amp;" "," ")," "&amp;$CR$1368&amp;" "," ")," "&amp;$CR$1372&amp;" "," ")),"")</f>
        <v xml:space="preserve"> baies de genievre </v>
      </c>
      <c r="AY13" s="581">
        <f>IF(13=13,IF($U13="","",SUMPRODUCT(--ISNUMBER(SEARCH(" "&amp;$CR$1373:$CR$1383&amp;" ",$AX13)))),"")</f>
        <v>0</v>
      </c>
      <c r="AZ13" s="581" t="str">
        <f>IF(13=13,IF($U13="","",IF(SUM(AN13:AW13)+SUMPRODUCT(--ISNUMBER(SEARCH(" "&amp;$CR$2421:$CR$2422&amp;" ",$AX13)))&gt;0,"X",IF(AY13&gt;0,"?",""))),"")</f>
        <v/>
      </c>
      <c r="BA13" s="581">
        <f>IF(13=13,IF($U13="","",SUMPRODUCT(--ISNUMBER(SEARCH(" "&amp;$CR$1384:$CR$1404&amp;" ",$AA13)))),"")</f>
        <v>0</v>
      </c>
      <c r="BB13" s="581" t="str">
        <f>IF(13=13,IF($U13="","",IF((BA13)-(0)&gt;0,"X",IF((0)-(0)&gt;0,"?",""))),"")</f>
        <v/>
      </c>
      <c r="BC13" s="581">
        <f>IF(13=13,IF($U13="","",SUMPRODUCT(--ISNUMBER(SEARCH(" "&amp;$CR$1405:$CR$1442&amp;" ",$BD13)))),"")</f>
        <v>0</v>
      </c>
      <c r="BD13" s="581" t="str">
        <f>IF(13=13,IF($U13="","",SUBSTITUTE(SUBSTITUTE($AA13," "&amp;$CR$1443&amp;" "," ")," "&amp;$CR$1444&amp;" "," ")),"")</f>
        <v xml:space="preserve"> baies de genievre </v>
      </c>
      <c r="BE13" s="581">
        <f>IF(13=13,IF($U13="","",SUMPRODUCT(--ISNUMBER(SEARCH(" "&amp;$CR$1445:$CR$1455&amp;" ",$BD13)))),"")</f>
        <v>0</v>
      </c>
      <c r="BF13" s="581" t="str">
        <f>IF(13=13,IF($U13="","",IF(BC13&gt;0,"X",IF(BE13&gt;0,"?",""))),"")</f>
        <v/>
      </c>
      <c r="BG13" s="581">
        <f>IF(13=13,IF($U13="","",SUMPRODUCT(--ISNUMBER(SEARCH(" "&amp;$CR$1456:$CR$1555&amp;" ",$BJ13)))),"")</f>
        <v>0</v>
      </c>
      <c r="BH13" s="581">
        <f>IF(13=13,IF($U13="","",SUMPRODUCT(--ISNUMBER(SEARCH(" "&amp;$CR$1556:$CR$1655&amp;" ",$BJ13)))),"")</f>
        <v>0</v>
      </c>
      <c r="BI13" s="581">
        <f>IF(13=13,IF($U13="","",SUMPRODUCT(--ISNUMBER(SEARCH(" "&amp;$CR$1656:$CR$1739&amp;" ",$BJ13)))),"")</f>
        <v>0</v>
      </c>
      <c r="BJ13" s="581"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baies de genievre </v>
      </c>
      <c r="BK13" s="581">
        <f>IF(13=13,IF($U13="","",SUMPRODUCT(--ISNUMBER(SEARCH(" "&amp;$CR$1790:$CR$1869&amp;" ",$BL13)))+SUMPRODUCT(--ISNUMBER(SEARCH(" "&amp;$CR$2440:$CR$2453&amp;" ",$BL13)))),"")</f>
        <v>0</v>
      </c>
      <c r="BL13" s="581"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baies de genievre </v>
      </c>
      <c r="BM13" s="581" t="str">
        <f>IF(13=13,IF($U13="","",IF(SUM(BG13:BI13)+SUMPRODUCT(--ISNUMBER(SEARCH(" "&amp;$CR$2423:$CR$2424&amp;" ",$BJ13)))&gt;0,"X",IF(BK13&gt;0,"?",""))),"")</f>
        <v/>
      </c>
      <c r="BN13" s="581">
        <f>IF(13=13,IF($U13="","",SUMPRODUCT(--ISNUMBER(SEARCH(" "&amp;$CR$1879:$CR$1936&amp;" ",$BO13)))),"")</f>
        <v>0</v>
      </c>
      <c r="BO13" s="581"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baies de genievre </v>
      </c>
      <c r="BP13" s="581">
        <f>IF(13=13,IF($U13="","",SUMPRODUCT(--ISNUMBER(SEARCH(" "&amp;$CR$1960:$CR$1976&amp;" ",$BO13)))),"")</f>
        <v>0</v>
      </c>
      <c r="BQ13" s="581" t="str">
        <f>IF(13=13,IF($U13="","",IF(BN13&gt;0,"X",IF(BP13&gt;0,"?",""))),"")</f>
        <v/>
      </c>
      <c r="BR13" s="581">
        <f>IF(13=13,IF($U13="","",SUMPRODUCT(--ISNUMBER(SEARCH(" "&amp;$CR$1977:$CR$1990&amp;" ",$AA13)))),"")</f>
        <v>0</v>
      </c>
      <c r="BS13" s="581">
        <f>IF(13=13,IF($U13="","",SUMPRODUCT(--ISNUMBER(SEARCH(" "&amp;$CR$1991:$CR$2005&amp;" ",$AA13)))),"")</f>
        <v>0</v>
      </c>
      <c r="BT13" s="581" t="str">
        <f>IF(13=13,IF($U13="","",IF((BR13)-(0)&gt;0,"X",IF((BS13)-(0)&gt;0,"?",""))),"")</f>
        <v/>
      </c>
      <c r="BU13" s="581">
        <f>IF(13=13,IF($U13="","",SUMPRODUCT(--ISNUMBER(SEARCH(" "&amp;$CR$2006:$CR$2023&amp;" ",$AA13)))),"")</f>
        <v>0</v>
      </c>
      <c r="BV13" s="581">
        <f>IF(13=13,IF($U13="","",SUMPRODUCT(--ISNUMBER(SEARCH(" "&amp;$CR$2024:$CR$2038&amp;" ",$AA13)))),"")</f>
        <v>0</v>
      </c>
      <c r="BW13" s="581" t="str">
        <f>IF(13=13,IF($U13="","",IF((BU13)-(0)&gt;0,"X",IF((BV13)-(0)&gt;0,"?",""))),"")</f>
        <v/>
      </c>
      <c r="BX13" s="581">
        <f>IF(13=13,IF($U13="","",SUMPRODUCT(--ISNUMBER(SEARCH(" "&amp;$CR$2039:$CR$2057&amp;" ",$AA13)))),"")</f>
        <v>0</v>
      </c>
      <c r="BY13" s="581">
        <f>IF(13=13,IF($U13="","",SUMPRODUCT(--ISNUMBER(SEARCH(" "&amp;$CR$2058:$CR$2072&amp;" ",$AA13)))),"")</f>
        <v>0</v>
      </c>
      <c r="BZ13" s="581" t="str">
        <f>IF(13=13,IF($U13="","",IF((BX13)-(0)&gt;0,"X",IF((BY13)-(0)&gt;0,"?",""))),"")</f>
        <v/>
      </c>
      <c r="CA13" s="581">
        <f>IF(13=13,IF($U13="","",SUMPRODUCT(--ISNUMBER(SEARCH(" "&amp;$CR$2073:$CR$2093&amp;" ",$AA13)))),"")</f>
        <v>0</v>
      </c>
      <c r="CB13" s="581">
        <f>IF(13=13,IF($U13="","",SUMPRODUCT(--ISNUMBER(SEARCH(" "&amp;$CR$2094:$CR$2133&amp;" ",SUBSTITUTE(SUBSTITUTE($AA13," "&amp;$CR$1367&amp;" "," ")," "&amp;$CR$1366&amp;" "," "))))+--ISNUMBER(SEARCH("poiré",$V13))),"")</f>
        <v>0</v>
      </c>
      <c r="CC13" s="581" t="str">
        <f>IF(13=13,IF($U13="","",IF(OR(CA13&gt;0,ISNUMBER(SEARCH(" vinaigre de vin ",$AA13)),ISNUMBER(SEARCH(" vinaigre au vin ",$AA13))),"X",IF(CB13&gt;0,"?",""))),"")</f>
        <v/>
      </c>
      <c r="CD13" s="581">
        <f>IF(13=13,IF($U13="","",SUMPRODUCT(--ISNUMBER(SEARCH(" "&amp;$CR$2134:$CR$2146&amp;" ",$AA13)))),"")</f>
        <v>0</v>
      </c>
      <c r="CE13" s="581">
        <f>IF(13=13,IF($U13="","",SUMPRODUCT(--ISNUMBER(SEARCH(" "&amp;$CR$2147:$CR$2152&amp;" ",$AA13)))),"")</f>
        <v>0</v>
      </c>
      <c r="CF13" s="581" t="str">
        <f>IF(13=13,IF($U13="","",IF((CD13)-(0)&gt;0,"X",IF((CE13)-(0)&gt;0,"?",""))),"")</f>
        <v/>
      </c>
      <c r="CG13" s="581">
        <f>IF(13=13,IF($U13="","",SUMPRODUCT(--ISNUMBER(SEARCH(" "&amp;$CR$2153:$CR$2252&amp;" ",$CJ13)))),"")</f>
        <v>0</v>
      </c>
      <c r="CH13" s="581">
        <f>IF(13=13,IF($U13="","",SUMPRODUCT(--ISNUMBER(SEARCH(" "&amp;$CR$2253:$CR$2352&amp;" ",$CJ13)))),"")</f>
        <v>0</v>
      </c>
      <c r="CI13" s="581">
        <f>IF(13=13,IF($U13="","",SUMPRODUCT(--ISNUMBER(SEARCH(" "&amp;$CR$2353:$CR$2395&amp;" ",$CJ13)))),"")</f>
        <v>0</v>
      </c>
      <c r="CJ13" s="581"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baies de genievre </v>
      </c>
      <c r="CK13" s="581">
        <f>IF(13=13,IF($U13="","",SUMPRODUCT(--ISNUMBER(SEARCH(" "&amp;$CR$2412:$CR$2416&amp;" ",$CJ13)))),"")</f>
        <v>0</v>
      </c>
      <c r="CL13" s="581" t="str">
        <f>IF(13=13,IF($U13="","",IF(SUM(CG13:CI13)&gt;0,"X",IF(CK13&gt;0,"?",""))),"")</f>
        <v/>
      </c>
      <c r="CM13" s="582"/>
      <c r="CN13" s="584" t="s">
        <v>2004</v>
      </c>
      <c r="CO13" s="584" t="s">
        <v>1887</v>
      </c>
      <c r="CP13" s="584" t="s">
        <v>1888</v>
      </c>
      <c r="CQ13" s="584" t="s">
        <v>2005</v>
      </c>
      <c r="CR13" s="584" t="s">
        <v>2005</v>
      </c>
      <c r="CS13" s="584" t="s">
        <v>1890</v>
      </c>
      <c r="CT13" s="584" t="s">
        <v>1891</v>
      </c>
      <c r="CU13" s="584" t="s">
        <v>1892</v>
      </c>
      <c r="CV13" s="585" t="s">
        <v>1893</v>
      </c>
    </row>
    <row r="14" spans="1:101" ht="21.95" customHeight="1" x14ac:dyDescent="0.25">
      <c r="A14" s="597">
        <v>8</v>
      </c>
      <c r="B14" s="598" t="s">
        <v>2006</v>
      </c>
      <c r="C14" s="599" t="str">
        <f t="shared" si="0"/>
        <v>Vin rouge ?</v>
      </c>
      <c r="D14" s="600"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601" t="str">
        <f>IF(14=14,IF($B14="","",AF14),"")</f>
        <v/>
      </c>
      <c r="F14" s="601" t="str">
        <f>IF(14=14,IF($B14="","",AI14),"")</f>
        <v/>
      </c>
      <c r="G14" s="601" t="str">
        <f>IF(14=14,IF($B14="","",AM14),"")</f>
        <v>?</v>
      </c>
      <c r="H14" s="601" t="str">
        <f>IF(14=14,IF($B14="","",AZ14),"")</f>
        <v/>
      </c>
      <c r="I14" s="601" t="str">
        <f>IF(14=14,IF($B14="","",BB14),"")</f>
        <v/>
      </c>
      <c r="J14" s="601" t="str">
        <f>IF(14=14,IF($B14="","",BF14),"")</f>
        <v/>
      </c>
      <c r="K14" s="601" t="str">
        <f>IF(14=14,IF($B14="","",BM14),"")</f>
        <v>?</v>
      </c>
      <c r="L14" s="601" t="str">
        <f>IF(14=14,IF($B14="","",BQ14),"")</f>
        <v/>
      </c>
      <c r="M14" s="601" t="str">
        <f>IF(14=14,IF($B14="","",BT14),"")</f>
        <v/>
      </c>
      <c r="N14" s="601" t="str">
        <f>IF(14=14,IF($B14="","",BW14),"")</f>
        <v/>
      </c>
      <c r="O14" s="601" t="str">
        <f>IF(14=14,IF($B14="","",BZ14),"")</f>
        <v/>
      </c>
      <c r="P14" s="601" t="str">
        <f>IF(14=14,IF($B14="","",CC14),"")</f>
        <v>?</v>
      </c>
      <c r="Q14" s="601" t="str">
        <f>IF(14=14,IF($B14="","",CF14),"")</f>
        <v/>
      </c>
      <c r="R14" s="601" t="str">
        <f>IF(14=14,IF($B14="","",CL14),"")</f>
        <v/>
      </c>
      <c r="S14" s="602"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Œufs, Lait, Sulfites</v>
      </c>
      <c r="U14" s="581" t="str">
        <f>IF(14=14,IF($B14="","",$B14),"")</f>
        <v>Vin rouge</v>
      </c>
      <c r="V14" s="581" t="str">
        <f>IF(14=14,LOWER(CLEAN(SUBSTITUTE(SUBSTITUTE(SUBSTITUTE(SUBSTITUTE($U14,CHAR(160)," ")," "," "),CHAR(10)," "),CHAR(13)," "))),"")</f>
        <v>vin rouge</v>
      </c>
      <c r="W14" s="581" t="str">
        <f>IF(14=14,SUBSTITUTE(SUBSTITUTE(SUBSTITUTE(SUBSTITUTE(SUBSTITUTE(SUBSTITUTE(SUBSTITUTE(SUBSTITUTE(SUBSTITUTE(SUBSTITUTE(SUBSTITUTE(SUBSTITUTE($V14,"œ","oe"),"æ","ae"),"à","a"),"á","a"),"â","a"),"ä","a"),"ã","a"),"ç","c"),"è","e"),"é","e"),"ê","e"),"ë","e"),"")</f>
        <v>vin rouge</v>
      </c>
      <c r="X14" s="581" t="str">
        <f>IF(14=14,SUBSTITUTE(SUBSTITUTE(SUBSTITUTE(SUBSTITUTE(SUBSTITUTE(SUBSTITUTE(SUBSTITUTE(SUBSTITUTE(SUBSTITUTE(SUBSTITUTE(SUBSTITUTE(SUBSTITUTE(SUBSTITUTE(SUBSTITUTE(SUBSTITUTE(SUBSTITUTE($W14,"ì","i"),"í","i"),"î","i"),"ï","i"),"ñ","n"),"ò","o"),"ó","o"),"ô","o"),"ö","o"),"õ","o"),"ù","u"),"ú","u"),"û","u"),"ü","u"),"ý","y"),"ÿ","y"),"")</f>
        <v>vin rouge</v>
      </c>
      <c r="Y14" s="581" t="str">
        <f>IF(14=14,SUBSTITUTE(SUBSTITUTE(SUBSTITUTE(SUBSTITUTE(SUBSTITUTE(SUBSTITUTE(SUBSTITUTE(SUBSTITUTE(SUBSTITUTE(SUBSTITUTE(SUBSTITUTE(SUBSTITUTE(SUBSTITUTE(SUBSTITUTE($X14,"’"," "),"`"," "),"–"," "),"—"," "),"-"," "),"'"," "),"/"," "),"_"," "),","," "),"."," "),"("," "),")"," "),";"," "),":"," "),"")</f>
        <v>vin rouge</v>
      </c>
      <c r="Z14" s="581" t="str">
        <f>IF(14=14,SUBSTITUTE(SUBSTITUTE(SUBSTITUTE(SUBSTITUTE(SUBSTITUTE(SUBSTITUTE(SUBSTITUTE(SUBSTITUTE(SUBSTITUTE(SUBSTITUTE(SUBSTITUTE(SUBSTITUTE(SUBSTITUTE(SUBSTITUTE(SUBSTITUTE($Y14,"!"," "),"?"," "),"+"," "),"*"," "),"&amp;"," "),"["," "),"]"," "),"{"," "),"}"," "),"%"," "),"="," "),"\"," "),"|"," "),"&lt;"," "),"&gt;"," "),"")</f>
        <v>vin rouge</v>
      </c>
      <c r="AA14" s="581" t="str">
        <f>IF(14=14," "&amp;TRIM(SUBSTITUTE(SUBSTITUTE(SUBSTITUTE(SUBSTITUTE(SUBSTITUTE(SUBSTITUTE($Z14,CHAR(34)," "),"  "," "),"  "," "),"  "," "),"  "," "),"  "," "))&amp;" ","")</f>
        <v xml:space="preserve"> vin rouge </v>
      </c>
      <c r="AB14" s="581">
        <f>IF(14=14,IF($U14="","",SUMPRODUCT(--ISNUMBER(SEARCH(" "&amp;$CR$2:$CR$101&amp;" ",$AD14)))),"")</f>
        <v>0</v>
      </c>
      <c r="AC14" s="581">
        <f>IF(14=14,IF($U14="","",SUMPRODUCT(--ISNUMBER(SEARCH(" "&amp;$CR$102:$CR$151&amp;" ",$AD14)))),"")</f>
        <v>0</v>
      </c>
      <c r="AD14" s="581" t="e">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4" s="581">
        <f>IF(14=14,IF($U14="","",SUMPRODUCT(--ISNUMBER(SEARCH(" "&amp;$CR$184:$CR$205&amp;" ",$AD14)))),"")</f>
        <v>0</v>
      </c>
      <c r="AF14" s="581" t="str">
        <f>IF(14=14,IF($U14="","",IF(SUM(AB14:AC14)+SUMPRODUCT(--ISNUMBER(SEARCH(" "&amp;$CR$2418:$CR$2420&amp;" ",$AD14)))&gt;0,"X",IF(AE14&gt;0,"?",""))),"")</f>
        <v/>
      </c>
      <c r="AG14" s="581">
        <f>IF(14=14,IF($U14="","",SUMPRODUCT(--ISNUMBER(SEARCH(" "&amp;$CR$206:$CR$305&amp;" ",$AA14)))),"")</f>
        <v>0</v>
      </c>
      <c r="AH14" s="581">
        <f>IF(14=14,IF($U14="","",SUMPRODUCT(--ISNUMBER(SEARCH(" "&amp;$CR$306:$CR$340&amp;" ",$AA14)))),"")</f>
        <v>0</v>
      </c>
      <c r="AI14" s="581" t="str">
        <f>IF(14=14,IF($U14="","",IF((SUM(AG14:AH14))-(0)&gt;0,"X",IF((0)-(0)&gt;0,"?",""))),"")</f>
        <v/>
      </c>
      <c r="AJ14" s="581">
        <f>IF(14=14,IF($U14="","",SUMPRODUCT(--ISNUMBER(SEARCH(" "&amp;$CR$341:$CR$398&amp;" ",$AA14)))),"")</f>
        <v>0</v>
      </c>
      <c r="AK14" s="581">
        <f>IF(14=14,IF($U14="","",SUMPRODUCT(--ISNUMBER(SEARCH(" "&amp;$CR$399:$CR$426&amp;" ",$AL14)))+SUMPRODUCT(--ISNUMBER(SEARCH(" "&amp;$CR$2440:$CR$2453&amp;" ",$AL14)))),"")</f>
        <v>1</v>
      </c>
      <c r="AL14" s="581" t="str">
        <f>IF(14=14,IF($U14="","",SUBSTITUTE(SUBSTITUTE(SUBSTITUTE(SUBSTITUTE(SUBSTITUTE(SUBSTITUTE(SUBSTITUTE(SUBSTITUTE(SUBSTITUTE(SUBSTITUTE(SUBSTITUTE(SUBSTITUTE(SUBSTITUTE($AA14," "&amp;$CR$433&amp;" "," ")," "&amp;$CR$431&amp;" "," ")," "&amp;$CR$2438&amp;" "," ")," "&amp;$CR$2439&amp;" "," ")," "&amp;$CR$428&amp;" "," ")," "&amp;$CR$432&amp;" "," ")," "&amp;$CR$434&amp;" "," ")," "&amp;$CR$429&amp;" "," ")," "&amp;$CR$427&amp;" "," ")," "&amp;$CR$1367&amp;" "," ")," "&amp;$CR$435&amp;" "," ")," "&amp;$CR$1366&amp;" "," ")," "&amp;$CR$430&amp;" "," ")),"")</f>
        <v xml:space="preserve"> vin rouge </v>
      </c>
      <c r="AM14" s="581" t="str">
        <f>IF(14=14,IF($U14="","",IF(AJ14&gt;0,"X",IF(AK14&gt;0,"?",""))),"")</f>
        <v>?</v>
      </c>
      <c r="AN14" s="581">
        <f>IF(14=14,IF($U14="","",SUMPRODUCT(--ISNUMBER(SEARCH(" "&amp;$CR$436:$CR$535&amp;" ",$AX14)))),"")</f>
        <v>0</v>
      </c>
      <c r="AO14" s="581">
        <f>IF(14=14,IF($U14="","",SUMPRODUCT(--ISNUMBER(SEARCH(" "&amp;$CR$536:$CR$635&amp;" ",$AX14)))),"")</f>
        <v>0</v>
      </c>
      <c r="AP14" s="581">
        <f>IF(14=14,IF($U14="","",SUMPRODUCT(--ISNUMBER(SEARCH(" "&amp;$CR$636:$CR$735&amp;" ",$AX14)))),"")</f>
        <v>0</v>
      </c>
      <c r="AQ14" s="581">
        <f>IF(14=14,IF($U14="","",SUMPRODUCT(--ISNUMBER(SEARCH(" "&amp;$CR$736:$CR$835&amp;" ",$AX14)))),"")</f>
        <v>0</v>
      </c>
      <c r="AR14" s="581">
        <f>IF(14=14,IF($U14="","",SUMPRODUCT(--ISNUMBER(SEARCH(" "&amp;$CR$836:$CR$935&amp;" ",$AX14)))),"")</f>
        <v>0</v>
      </c>
      <c r="AS14" s="581">
        <f>IF(14=14,IF($U14="","",SUMPRODUCT(--ISNUMBER(SEARCH(" "&amp;$CR$936:$CR$1035&amp;" ",$AX14)))),"")</f>
        <v>0</v>
      </c>
      <c r="AT14" s="581">
        <f>IF(14=14,IF($U14="","",SUMPRODUCT(--ISNUMBER(SEARCH(" "&amp;$CR$1036:$CR$1135&amp;" ",$AX14)))),"")</f>
        <v>0</v>
      </c>
      <c r="AU14" s="581">
        <f>IF(14=14,IF($U14="","",SUMPRODUCT(--ISNUMBER(SEARCH(" "&amp;$CR$1136:$CR$1235&amp;" ",$AX14)))),"")</f>
        <v>0</v>
      </c>
      <c r="AV14" s="581">
        <f>IF(14=14,IF($U14="","",SUMPRODUCT(--ISNUMBER(SEARCH(" "&amp;$CR$1236:$CR$1335&amp;" ",$AX14)))),"")</f>
        <v>0</v>
      </c>
      <c r="AW14" s="581">
        <f>IF(14=14,IF($U14="","",SUMPRODUCT(--ISNUMBER(SEARCH(" "&amp;$CR$1336:$CR$1363&amp;" ",$AX14)))),"")</f>
        <v>0</v>
      </c>
      <c r="AX14" s="581" t="str">
        <f>IF(14=14,IF($U14="","",SUBSTITUTE(SUBSTITUTE(SUBSTITUTE(SUBSTITUTE(SUBSTITUTE(SUBSTITUTE(SUBSTITUTE(SUBSTITUTE(SUBSTITUTE($AA14," "&amp;$CR$1365&amp;" "," ")," "&amp;$CR$1364&amp;" "," ")," "&amp;$CR$1370&amp;" "," ")," "&amp;$CR$1371&amp;" "," ")," "&amp;$CR$1367&amp;" "," ")," "&amp;$CR$1369&amp;" "," ")," "&amp;$CR$1366&amp;" "," ")," "&amp;$CR$1368&amp;" "," ")," "&amp;$CR$1372&amp;" "," ")),"")</f>
        <v xml:space="preserve"> vin rouge </v>
      </c>
      <c r="AY14" s="581">
        <f>IF(14=14,IF($U14="","",SUMPRODUCT(--ISNUMBER(SEARCH(" "&amp;$CR$1373:$CR$1383&amp;" ",$AX14)))),"")</f>
        <v>0</v>
      </c>
      <c r="AZ14" s="581" t="str">
        <f>IF(14=14,IF($U14="","",IF(SUM(AN14:AW14)+SUMPRODUCT(--ISNUMBER(SEARCH(" "&amp;$CR$2421:$CR$2422&amp;" ",$AX14)))&gt;0,"X",IF(AY14&gt;0,"?",""))),"")</f>
        <v/>
      </c>
      <c r="BA14" s="581">
        <f>IF(14=14,IF($U14="","",SUMPRODUCT(--ISNUMBER(SEARCH(" "&amp;$CR$1384:$CR$1404&amp;" ",$AA14)))),"")</f>
        <v>0</v>
      </c>
      <c r="BB14" s="581" t="str">
        <f>IF(14=14,IF($U14="","",IF((BA14)-(0)&gt;0,"X",IF((0)-(0)&gt;0,"?",""))),"")</f>
        <v/>
      </c>
      <c r="BC14" s="581">
        <f>IF(14=14,IF($U14="","",SUMPRODUCT(--ISNUMBER(SEARCH(" "&amp;$CR$1405:$CR$1442&amp;" ",$BD14)))),"")</f>
        <v>0</v>
      </c>
      <c r="BD14" s="581" t="str">
        <f>IF(14=14,IF($U14="","",SUBSTITUTE(SUBSTITUTE($AA14," "&amp;$CR$1443&amp;" "," ")," "&amp;$CR$1444&amp;" "," ")),"")</f>
        <v xml:space="preserve"> vin rouge </v>
      </c>
      <c r="BE14" s="581">
        <f>IF(14=14,IF($U14="","",SUMPRODUCT(--ISNUMBER(SEARCH(" "&amp;$CR$1445:$CR$1455&amp;" ",$BD14)))),"")</f>
        <v>0</v>
      </c>
      <c r="BF14" s="581" t="str">
        <f>IF(14=14,IF($U14="","",IF(BC14&gt;0,"X",IF(BE14&gt;0,"?",""))),"")</f>
        <v/>
      </c>
      <c r="BG14" s="581">
        <f>IF(14=14,IF($U14="","",SUMPRODUCT(--ISNUMBER(SEARCH(" "&amp;$CR$1456:$CR$1555&amp;" ",$BJ14)))),"")</f>
        <v>0</v>
      </c>
      <c r="BH14" s="581">
        <f>IF(14=14,IF($U14="","",SUMPRODUCT(--ISNUMBER(SEARCH(" "&amp;$CR$1556:$CR$1655&amp;" ",$BJ14)))),"")</f>
        <v>0</v>
      </c>
      <c r="BI14" s="581">
        <f>IF(14=14,IF($U14="","",SUMPRODUCT(--ISNUMBER(SEARCH(" "&amp;$CR$1656:$CR$1739&amp;" ",$BJ14)))),"")</f>
        <v>0</v>
      </c>
      <c r="BJ14" s="581"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rouge </v>
      </c>
      <c r="BK14" s="581">
        <f>IF(14=14,IF($U14="","",SUMPRODUCT(--ISNUMBER(SEARCH(" "&amp;$CR$1790:$CR$1869&amp;" ",$BL14)))+SUMPRODUCT(--ISNUMBER(SEARCH(" "&amp;$CR$2440:$CR$2453&amp;" ",$BL14)))),"")</f>
        <v>1</v>
      </c>
      <c r="BL14" s="581"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vin rouge </v>
      </c>
      <c r="BM14" s="581" t="str">
        <f>IF(14=14,IF($U14="","",IF(SUM(BG14:BI14)+SUMPRODUCT(--ISNUMBER(SEARCH(" "&amp;$CR$2423:$CR$2424&amp;" ",$BJ14)))&gt;0,"X",IF(BK14&gt;0,"?",""))),"")</f>
        <v>?</v>
      </c>
      <c r="BN14" s="581">
        <f>IF(14=14,IF($U14="","",SUMPRODUCT(--ISNUMBER(SEARCH(" "&amp;$CR$1879:$CR$1936&amp;" ",$BO14)))),"")</f>
        <v>0</v>
      </c>
      <c r="BO14" s="581"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rouge </v>
      </c>
      <c r="BP14" s="581">
        <f>IF(14=14,IF($U14="","",SUMPRODUCT(--ISNUMBER(SEARCH(" "&amp;$CR$1960:$CR$1976&amp;" ",$BO14)))),"")</f>
        <v>0</v>
      </c>
      <c r="BQ14" s="581" t="str">
        <f>IF(14=14,IF($U14="","",IF(BN14&gt;0,"X",IF(BP14&gt;0,"?",""))),"")</f>
        <v/>
      </c>
      <c r="BR14" s="581">
        <f>IF(14=14,IF($U14="","",SUMPRODUCT(--ISNUMBER(SEARCH(" "&amp;$CR$1977:$CR$1990&amp;" ",$AA14)))),"")</f>
        <v>0</v>
      </c>
      <c r="BS14" s="581">
        <f>IF(14=14,IF($U14="","",SUMPRODUCT(--ISNUMBER(SEARCH(" "&amp;$CR$1991:$CR$2005&amp;" ",$AA14)))),"")</f>
        <v>0</v>
      </c>
      <c r="BT14" s="581" t="str">
        <f>IF(14=14,IF($U14="","",IF((BR14)-(0)&gt;0,"X",IF((BS14)-(0)&gt;0,"?",""))),"")</f>
        <v/>
      </c>
      <c r="BU14" s="581">
        <f>IF(14=14,IF($U14="","",SUMPRODUCT(--ISNUMBER(SEARCH(" "&amp;$CR$2006:$CR$2023&amp;" ",$AA14)))),"")</f>
        <v>0</v>
      </c>
      <c r="BV14" s="581">
        <f>IF(14=14,IF($U14="","",SUMPRODUCT(--ISNUMBER(SEARCH(" "&amp;$CR$2024:$CR$2038&amp;" ",$AA14)))),"")</f>
        <v>0</v>
      </c>
      <c r="BW14" s="581" t="str">
        <f>IF(14=14,IF($U14="","",IF((BU14)-(0)&gt;0,"X",IF((BV14)-(0)&gt;0,"?",""))),"")</f>
        <v/>
      </c>
      <c r="BX14" s="581">
        <f>IF(14=14,IF($U14="","",SUMPRODUCT(--ISNUMBER(SEARCH(" "&amp;$CR$2039:$CR$2057&amp;" ",$AA14)))),"")</f>
        <v>0</v>
      </c>
      <c r="BY14" s="581">
        <f>IF(14=14,IF($U14="","",SUMPRODUCT(--ISNUMBER(SEARCH(" "&amp;$CR$2058:$CR$2072&amp;" ",$AA14)))),"")</f>
        <v>0</v>
      </c>
      <c r="BZ14" s="581" t="str">
        <f>IF(14=14,IF($U14="","",IF((BX14)-(0)&gt;0,"X",IF((BY14)-(0)&gt;0,"?",""))),"")</f>
        <v/>
      </c>
      <c r="CA14" s="581">
        <f>IF(14=14,IF($U14="","",SUMPRODUCT(--ISNUMBER(SEARCH(" "&amp;$CR$2073:$CR$2093&amp;" ",$AA14)))),"")</f>
        <v>0</v>
      </c>
      <c r="CB14" s="581">
        <f>IF(14=14,IF($U14="","",SUMPRODUCT(--ISNUMBER(SEARCH(" "&amp;$CR$2094:$CR$2133&amp;" ",SUBSTITUTE(SUBSTITUTE($AA14," "&amp;$CR$1367&amp;" "," ")," "&amp;$CR$1366&amp;" "," "))))+--ISNUMBER(SEARCH("poiré",$V14))),"")</f>
        <v>2</v>
      </c>
      <c r="CC14" s="581" t="str">
        <f>IF(14=14,IF($U14="","",IF(OR(CA14&gt;0,ISNUMBER(SEARCH(" vinaigre de vin ",$AA14)),ISNUMBER(SEARCH(" vinaigre au vin ",$AA14))),"X",IF(CB14&gt;0,"?",""))),"")</f>
        <v>?</v>
      </c>
      <c r="CD14" s="581">
        <f>IF(14=14,IF($U14="","",SUMPRODUCT(--ISNUMBER(SEARCH(" "&amp;$CR$2134:$CR$2146&amp;" ",$AA14)))),"")</f>
        <v>0</v>
      </c>
      <c r="CE14" s="581">
        <f>IF(14=14,IF($U14="","",SUMPRODUCT(--ISNUMBER(SEARCH(" "&amp;$CR$2147:$CR$2152&amp;" ",$AA14)))),"")</f>
        <v>0</v>
      </c>
      <c r="CF14" s="581" t="str">
        <f>IF(14=14,IF($U14="","",IF((CD14)-(0)&gt;0,"X",IF((CE14)-(0)&gt;0,"?",""))),"")</f>
        <v/>
      </c>
      <c r="CG14" s="581">
        <f>IF(14=14,IF($U14="","",SUMPRODUCT(--ISNUMBER(SEARCH(" "&amp;$CR$2153:$CR$2252&amp;" ",$CJ14)))),"")</f>
        <v>0</v>
      </c>
      <c r="CH14" s="581">
        <f>IF(14=14,IF($U14="","",SUMPRODUCT(--ISNUMBER(SEARCH(" "&amp;$CR$2253:$CR$2352&amp;" ",$CJ14)))),"")</f>
        <v>0</v>
      </c>
      <c r="CI14" s="581">
        <f>IF(14=14,IF($U14="","",SUMPRODUCT(--ISNUMBER(SEARCH(" "&amp;$CR$2353:$CR$2395&amp;" ",$CJ14)))),"")</f>
        <v>0</v>
      </c>
      <c r="CJ14" s="581"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vin rouge </v>
      </c>
      <c r="CK14" s="581">
        <f>IF(14=14,IF($U14="","",SUMPRODUCT(--ISNUMBER(SEARCH(" "&amp;$CR$2412:$CR$2416&amp;" ",$CJ14)))),"")</f>
        <v>0</v>
      </c>
      <c r="CL14" s="581" t="str">
        <f>IF(14=14,IF($U14="","",IF(SUM(CG14:CI14)&gt;0,"X",IF(CK14&gt;0,"?",""))),"")</f>
        <v/>
      </c>
      <c r="CM14" s="582"/>
      <c r="CN14" s="584" t="s">
        <v>2007</v>
      </c>
      <c r="CO14" s="584" t="s">
        <v>1887</v>
      </c>
      <c r="CP14" s="584" t="s">
        <v>1888</v>
      </c>
      <c r="CQ14" s="584" t="s">
        <v>2008</v>
      </c>
      <c r="CR14" s="584" t="s">
        <v>2008</v>
      </c>
      <c r="CS14" s="584" t="s">
        <v>1890</v>
      </c>
      <c r="CT14" s="584" t="s">
        <v>1891</v>
      </c>
      <c r="CU14" s="584" t="s">
        <v>1892</v>
      </c>
      <c r="CV14" s="585" t="s">
        <v>1893</v>
      </c>
    </row>
    <row r="15" spans="1:101" ht="21.95" customHeight="1" x14ac:dyDescent="0.25">
      <c r="A15" s="597">
        <v>9</v>
      </c>
      <c r="B15" s="598" t="s">
        <v>2009</v>
      </c>
      <c r="C15" s="599" t="str">
        <f t="shared" si="0"/>
        <v>Poivre en mignonnette</v>
      </c>
      <c r="D15" s="600"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601" t="str">
        <f>IF(15=15,IF($B15="","",AF15),"")</f>
        <v/>
      </c>
      <c r="F15" s="601" t="str">
        <f>IF(15=15,IF($B15="","",AI15),"")</f>
        <v/>
      </c>
      <c r="G15" s="601" t="str">
        <f>IF(15=15,IF($B15="","",AM15),"")</f>
        <v/>
      </c>
      <c r="H15" s="601" t="str">
        <f>IF(15=15,IF($B15="","",AZ15),"")</f>
        <v/>
      </c>
      <c r="I15" s="601" t="str">
        <f>IF(15=15,IF($B15="","",BB15),"")</f>
        <v/>
      </c>
      <c r="J15" s="601" t="str">
        <f>IF(15=15,IF($B15="","",BF15),"")</f>
        <v/>
      </c>
      <c r="K15" s="601" t="str">
        <f>IF(15=15,IF($B15="","",BM15),"")</f>
        <v/>
      </c>
      <c r="L15" s="601" t="str">
        <f>IF(15=15,IF($B15="","",BQ15),"")</f>
        <v/>
      </c>
      <c r="M15" s="601" t="str">
        <f>IF(15=15,IF($B15="","",BT15),"")</f>
        <v/>
      </c>
      <c r="N15" s="601" t="str">
        <f>IF(15=15,IF($B15="","",BW15),"")</f>
        <v/>
      </c>
      <c r="O15" s="601" t="str">
        <f>IF(15=15,IF($B15="","",BZ15),"")</f>
        <v/>
      </c>
      <c r="P15" s="601" t="str">
        <f>IF(15=15,IF($B15="","",CC15),"")</f>
        <v/>
      </c>
      <c r="Q15" s="601" t="str">
        <f>IF(15=15,IF($B15="","",CF15),"")</f>
        <v/>
      </c>
      <c r="R15" s="601" t="str">
        <f>IF(15=15,IF($B15="","",CL15),"")</f>
        <v/>
      </c>
      <c r="S15" s="602"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581" t="str">
        <f>IF(15=15,IF($B15="","",$B15),"")</f>
        <v>Poivre en mignonnette</v>
      </c>
      <c r="V15" s="581" t="str">
        <f>IF(15=15,LOWER(CLEAN(SUBSTITUTE(SUBSTITUTE(SUBSTITUTE(SUBSTITUTE($U15,CHAR(160)," ")," "," "),CHAR(10)," "),CHAR(13)," "))),"")</f>
        <v>poivre en mignonnette</v>
      </c>
      <c r="W15" s="581" t="str">
        <f>IF(15=15,SUBSTITUTE(SUBSTITUTE(SUBSTITUTE(SUBSTITUTE(SUBSTITUTE(SUBSTITUTE(SUBSTITUTE(SUBSTITUTE(SUBSTITUTE(SUBSTITUTE(SUBSTITUTE(SUBSTITUTE($V15,"œ","oe"),"æ","ae"),"à","a"),"á","a"),"â","a"),"ä","a"),"ã","a"),"ç","c"),"è","e"),"é","e"),"ê","e"),"ë","e"),"")</f>
        <v>poivre en mignonnette</v>
      </c>
      <c r="X15" s="581" t="str">
        <f>IF(15=15,SUBSTITUTE(SUBSTITUTE(SUBSTITUTE(SUBSTITUTE(SUBSTITUTE(SUBSTITUTE(SUBSTITUTE(SUBSTITUTE(SUBSTITUTE(SUBSTITUTE(SUBSTITUTE(SUBSTITUTE(SUBSTITUTE(SUBSTITUTE(SUBSTITUTE(SUBSTITUTE($W15,"ì","i"),"í","i"),"î","i"),"ï","i"),"ñ","n"),"ò","o"),"ó","o"),"ô","o"),"ö","o"),"õ","o"),"ù","u"),"ú","u"),"û","u"),"ü","u"),"ý","y"),"ÿ","y"),"")</f>
        <v>poivre en mignonnette</v>
      </c>
      <c r="Y15" s="581" t="str">
        <f>IF(15=15,SUBSTITUTE(SUBSTITUTE(SUBSTITUTE(SUBSTITUTE(SUBSTITUTE(SUBSTITUTE(SUBSTITUTE(SUBSTITUTE(SUBSTITUTE(SUBSTITUTE(SUBSTITUTE(SUBSTITUTE(SUBSTITUTE(SUBSTITUTE($X15,"’"," "),"`"," "),"–"," "),"—"," "),"-"," "),"'"," "),"/"," "),"_"," "),","," "),"."," "),"("," "),")"," "),";"," "),":"," "),"")</f>
        <v>poivre en mignonnette</v>
      </c>
      <c r="Z15" s="581" t="str">
        <f>IF(15=15,SUBSTITUTE(SUBSTITUTE(SUBSTITUTE(SUBSTITUTE(SUBSTITUTE(SUBSTITUTE(SUBSTITUTE(SUBSTITUTE(SUBSTITUTE(SUBSTITUTE(SUBSTITUTE(SUBSTITUTE(SUBSTITUTE(SUBSTITUTE(SUBSTITUTE($Y15,"!"," "),"?"," "),"+"," "),"*"," "),"&amp;"," "),"["," "),"]"," "),"{"," "),"}"," "),"%"," "),"="," "),"\"," "),"|"," "),"&lt;"," "),"&gt;"," "),"")</f>
        <v>poivre en mignonnette</v>
      </c>
      <c r="AA15" s="581" t="str">
        <f>IF(15=15," "&amp;TRIM(SUBSTITUTE(SUBSTITUTE(SUBSTITUTE(SUBSTITUTE(SUBSTITUTE(SUBSTITUTE($Z15,CHAR(34)," "),"  "," "),"  "," "),"  "," "),"  "," "),"  "," "))&amp;" ","")</f>
        <v xml:space="preserve"> poivre en mignonnette </v>
      </c>
      <c r="AB15" s="581">
        <f>IF(15=15,IF($U15="","",SUMPRODUCT(--ISNUMBER(SEARCH(" "&amp;$CR$2:$CR$101&amp;" ",$AD15)))),"")</f>
        <v>0</v>
      </c>
      <c r="AC15" s="581">
        <f>IF(15=15,IF($U15="","",SUMPRODUCT(--ISNUMBER(SEARCH(" "&amp;$CR$102:$CR$151&amp;" ",$AD15)))),"")</f>
        <v>0</v>
      </c>
      <c r="AD15" s="581" t="e">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5" s="581">
        <f>IF(15=15,IF($U15="","",SUMPRODUCT(--ISNUMBER(SEARCH(" "&amp;$CR$184:$CR$205&amp;" ",$AD15)))),"")</f>
        <v>0</v>
      </c>
      <c r="AF15" s="581" t="str">
        <f>IF(15=15,IF($U15="","",IF(SUM(AB15:AC15)+SUMPRODUCT(--ISNUMBER(SEARCH(" "&amp;$CR$2418:$CR$2420&amp;" ",$AD15)))&gt;0,"X",IF(AE15&gt;0,"?",""))),"")</f>
        <v/>
      </c>
      <c r="AG15" s="581">
        <f>IF(15=15,IF($U15="","",SUMPRODUCT(--ISNUMBER(SEARCH(" "&amp;$CR$206:$CR$305&amp;" ",$AA15)))),"")</f>
        <v>0</v>
      </c>
      <c r="AH15" s="581">
        <f>IF(15=15,IF($U15="","",SUMPRODUCT(--ISNUMBER(SEARCH(" "&amp;$CR$306:$CR$340&amp;" ",$AA15)))),"")</f>
        <v>0</v>
      </c>
      <c r="AI15" s="581" t="str">
        <f>IF(15=15,IF($U15="","",IF((SUM(AG15:AH15))-(0)&gt;0,"X",IF((0)-(0)&gt;0,"?",""))),"")</f>
        <v/>
      </c>
      <c r="AJ15" s="581">
        <f>IF(15=15,IF($U15="","",SUMPRODUCT(--ISNUMBER(SEARCH(" "&amp;$CR$341:$CR$398&amp;" ",$AA15)))),"")</f>
        <v>0</v>
      </c>
      <c r="AK15" s="581">
        <f>IF(15=15,IF($U15="","",SUMPRODUCT(--ISNUMBER(SEARCH(" "&amp;$CR$399:$CR$426&amp;" ",$AL15)))+SUMPRODUCT(--ISNUMBER(SEARCH(" "&amp;$CR$2440:$CR$2453&amp;" ",$AL15)))),"")</f>
        <v>0</v>
      </c>
      <c r="AL15" s="581" t="str">
        <f>IF(15=15,IF($U15="","",SUBSTITUTE(SUBSTITUTE(SUBSTITUTE(SUBSTITUTE(SUBSTITUTE(SUBSTITUTE(SUBSTITUTE(SUBSTITUTE(SUBSTITUTE(SUBSTITUTE(SUBSTITUTE(SUBSTITUTE(SUBSTITUTE($AA15," "&amp;$CR$433&amp;" "," ")," "&amp;$CR$431&amp;" "," ")," "&amp;$CR$2438&amp;" "," ")," "&amp;$CR$2439&amp;" "," ")," "&amp;$CR$428&amp;" "," ")," "&amp;$CR$432&amp;" "," ")," "&amp;$CR$434&amp;" "," ")," "&amp;$CR$429&amp;" "," ")," "&amp;$CR$427&amp;" "," ")," "&amp;$CR$1367&amp;" "," ")," "&amp;$CR$435&amp;" "," ")," "&amp;$CR$1366&amp;" "," ")," "&amp;$CR$430&amp;" "," ")),"")</f>
        <v xml:space="preserve"> poivre en mignonnette </v>
      </c>
      <c r="AM15" s="581" t="str">
        <f>IF(15=15,IF($U15="","",IF(AJ15&gt;0,"X",IF(AK15&gt;0,"?",""))),"")</f>
        <v/>
      </c>
      <c r="AN15" s="581">
        <f>IF(15=15,IF($U15="","",SUMPRODUCT(--ISNUMBER(SEARCH(" "&amp;$CR$436:$CR$535&amp;" ",$AX15)))),"")</f>
        <v>0</v>
      </c>
      <c r="AO15" s="581">
        <f>IF(15=15,IF($U15="","",SUMPRODUCT(--ISNUMBER(SEARCH(" "&amp;$CR$536:$CR$635&amp;" ",$AX15)))),"")</f>
        <v>0</v>
      </c>
      <c r="AP15" s="581">
        <f>IF(15=15,IF($U15="","",SUMPRODUCT(--ISNUMBER(SEARCH(" "&amp;$CR$636:$CR$735&amp;" ",$AX15)))),"")</f>
        <v>0</v>
      </c>
      <c r="AQ15" s="581">
        <f>IF(15=15,IF($U15="","",SUMPRODUCT(--ISNUMBER(SEARCH(" "&amp;$CR$736:$CR$835&amp;" ",$AX15)))),"")</f>
        <v>0</v>
      </c>
      <c r="AR15" s="581">
        <f>IF(15=15,IF($U15="","",SUMPRODUCT(--ISNUMBER(SEARCH(" "&amp;$CR$836:$CR$935&amp;" ",$AX15)))),"")</f>
        <v>0</v>
      </c>
      <c r="AS15" s="581">
        <f>IF(15=15,IF($U15="","",SUMPRODUCT(--ISNUMBER(SEARCH(" "&amp;$CR$936:$CR$1035&amp;" ",$AX15)))),"")</f>
        <v>0</v>
      </c>
      <c r="AT15" s="581">
        <f>IF(15=15,IF($U15="","",SUMPRODUCT(--ISNUMBER(SEARCH(" "&amp;$CR$1036:$CR$1135&amp;" ",$AX15)))),"")</f>
        <v>0</v>
      </c>
      <c r="AU15" s="581">
        <f>IF(15=15,IF($U15="","",SUMPRODUCT(--ISNUMBER(SEARCH(" "&amp;$CR$1136:$CR$1235&amp;" ",$AX15)))),"")</f>
        <v>0</v>
      </c>
      <c r="AV15" s="581">
        <f>IF(15=15,IF($U15="","",SUMPRODUCT(--ISNUMBER(SEARCH(" "&amp;$CR$1236:$CR$1335&amp;" ",$AX15)))),"")</f>
        <v>0</v>
      </c>
      <c r="AW15" s="581">
        <f>IF(15=15,IF($U15="","",SUMPRODUCT(--ISNUMBER(SEARCH(" "&amp;$CR$1336:$CR$1363&amp;" ",$AX15)))),"")</f>
        <v>0</v>
      </c>
      <c r="AX15" s="581" t="str">
        <f>IF(15=15,IF($U15="","",SUBSTITUTE(SUBSTITUTE(SUBSTITUTE(SUBSTITUTE(SUBSTITUTE(SUBSTITUTE(SUBSTITUTE(SUBSTITUTE(SUBSTITUTE($AA15," "&amp;$CR$1365&amp;" "," ")," "&amp;$CR$1364&amp;" "," ")," "&amp;$CR$1370&amp;" "," ")," "&amp;$CR$1371&amp;" "," ")," "&amp;$CR$1367&amp;" "," ")," "&amp;$CR$1369&amp;" "," ")," "&amp;$CR$1366&amp;" "," ")," "&amp;$CR$1368&amp;" "," ")," "&amp;$CR$1372&amp;" "," ")),"")</f>
        <v xml:space="preserve"> poivre en mignonnette </v>
      </c>
      <c r="AY15" s="581">
        <f>IF(15=15,IF($U15="","",SUMPRODUCT(--ISNUMBER(SEARCH(" "&amp;$CR$1373:$CR$1383&amp;" ",$AX15)))),"")</f>
        <v>0</v>
      </c>
      <c r="AZ15" s="581" t="str">
        <f>IF(15=15,IF($U15="","",IF(SUM(AN15:AW15)+SUMPRODUCT(--ISNUMBER(SEARCH(" "&amp;$CR$2421:$CR$2422&amp;" ",$AX15)))&gt;0,"X",IF(AY15&gt;0,"?",""))),"")</f>
        <v/>
      </c>
      <c r="BA15" s="581">
        <f>IF(15=15,IF($U15="","",SUMPRODUCT(--ISNUMBER(SEARCH(" "&amp;$CR$1384:$CR$1404&amp;" ",$AA15)))),"")</f>
        <v>0</v>
      </c>
      <c r="BB15" s="581" t="str">
        <f>IF(15=15,IF($U15="","",IF((BA15)-(0)&gt;0,"X",IF((0)-(0)&gt;0,"?",""))),"")</f>
        <v/>
      </c>
      <c r="BC15" s="581">
        <f>IF(15=15,IF($U15="","",SUMPRODUCT(--ISNUMBER(SEARCH(" "&amp;$CR$1405:$CR$1442&amp;" ",$BD15)))),"")</f>
        <v>0</v>
      </c>
      <c r="BD15" s="581" t="str">
        <f>IF(15=15,IF($U15="","",SUBSTITUTE(SUBSTITUTE($AA15," "&amp;$CR$1443&amp;" "," ")," "&amp;$CR$1444&amp;" "," ")),"")</f>
        <v xml:space="preserve"> poivre en mignonnette </v>
      </c>
      <c r="BE15" s="581">
        <f>IF(15=15,IF($U15="","",SUMPRODUCT(--ISNUMBER(SEARCH(" "&amp;$CR$1445:$CR$1455&amp;" ",$BD15)))),"")</f>
        <v>0</v>
      </c>
      <c r="BF15" s="581" t="str">
        <f>IF(15=15,IF($U15="","",IF(BC15&gt;0,"X",IF(BE15&gt;0,"?",""))),"")</f>
        <v/>
      </c>
      <c r="BG15" s="581">
        <f>IF(15=15,IF($U15="","",SUMPRODUCT(--ISNUMBER(SEARCH(" "&amp;$CR$1456:$CR$1555&amp;" ",$BJ15)))),"")</f>
        <v>0</v>
      </c>
      <c r="BH15" s="581">
        <f>IF(15=15,IF($U15="","",SUMPRODUCT(--ISNUMBER(SEARCH(" "&amp;$CR$1556:$CR$1655&amp;" ",$BJ15)))),"")</f>
        <v>0</v>
      </c>
      <c r="BI15" s="581">
        <f>IF(15=15,IF($U15="","",SUMPRODUCT(--ISNUMBER(SEARCH(" "&amp;$CR$1656:$CR$1739&amp;" ",$BJ15)))),"")</f>
        <v>0</v>
      </c>
      <c r="BJ15" s="581"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en mignonnette </v>
      </c>
      <c r="BK15" s="581">
        <f>IF(15=15,IF($U15="","",SUMPRODUCT(--ISNUMBER(SEARCH(" "&amp;$CR$1790:$CR$1869&amp;" ",$BL15)))+SUMPRODUCT(--ISNUMBER(SEARCH(" "&amp;$CR$2440:$CR$2453&amp;" ",$BL15)))),"")</f>
        <v>0</v>
      </c>
      <c r="BL15" s="581"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poivre en mignonnette </v>
      </c>
      <c r="BM15" s="581" t="str">
        <f>IF(15=15,IF($U15="","",IF(SUM(BG15:BI15)+SUMPRODUCT(--ISNUMBER(SEARCH(" "&amp;$CR$2423:$CR$2424&amp;" ",$BJ15)))&gt;0,"X",IF(BK15&gt;0,"?",""))),"")</f>
        <v/>
      </c>
      <c r="BN15" s="581">
        <f>IF(15=15,IF($U15="","",SUMPRODUCT(--ISNUMBER(SEARCH(" "&amp;$CR$1879:$CR$1936&amp;" ",$BO15)))),"")</f>
        <v>0</v>
      </c>
      <c r="BO15" s="581"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en mignonnette </v>
      </c>
      <c r="BP15" s="581">
        <f>IF(15=15,IF($U15="","",SUMPRODUCT(--ISNUMBER(SEARCH(" "&amp;$CR$1960:$CR$1976&amp;" ",$BO15)))),"")</f>
        <v>0</v>
      </c>
      <c r="BQ15" s="581" t="str">
        <f>IF(15=15,IF($U15="","",IF(BN15&gt;0,"X",IF(BP15&gt;0,"?",""))),"")</f>
        <v/>
      </c>
      <c r="BR15" s="581">
        <f>IF(15=15,IF($U15="","",SUMPRODUCT(--ISNUMBER(SEARCH(" "&amp;$CR$1977:$CR$1990&amp;" ",$AA15)))),"")</f>
        <v>0</v>
      </c>
      <c r="BS15" s="581">
        <f>IF(15=15,IF($U15="","",SUMPRODUCT(--ISNUMBER(SEARCH(" "&amp;$CR$1991:$CR$2005&amp;" ",$AA15)))),"")</f>
        <v>0</v>
      </c>
      <c r="BT15" s="581" t="str">
        <f>IF(15=15,IF($U15="","",IF((BR15)-(0)&gt;0,"X",IF((BS15)-(0)&gt;0,"?",""))),"")</f>
        <v/>
      </c>
      <c r="BU15" s="581">
        <f>IF(15=15,IF($U15="","",SUMPRODUCT(--ISNUMBER(SEARCH(" "&amp;$CR$2006:$CR$2023&amp;" ",$AA15)))),"")</f>
        <v>0</v>
      </c>
      <c r="BV15" s="581">
        <f>IF(15=15,IF($U15="","",SUMPRODUCT(--ISNUMBER(SEARCH(" "&amp;$CR$2024:$CR$2038&amp;" ",$AA15)))),"")</f>
        <v>0</v>
      </c>
      <c r="BW15" s="581" t="str">
        <f>IF(15=15,IF($U15="","",IF((BU15)-(0)&gt;0,"X",IF((BV15)-(0)&gt;0,"?",""))),"")</f>
        <v/>
      </c>
      <c r="BX15" s="581">
        <f>IF(15=15,IF($U15="","",SUMPRODUCT(--ISNUMBER(SEARCH(" "&amp;$CR$2039:$CR$2057&amp;" ",$AA15)))),"")</f>
        <v>0</v>
      </c>
      <c r="BY15" s="581">
        <f>IF(15=15,IF($U15="","",SUMPRODUCT(--ISNUMBER(SEARCH(" "&amp;$CR$2058:$CR$2072&amp;" ",$AA15)))),"")</f>
        <v>0</v>
      </c>
      <c r="BZ15" s="581" t="str">
        <f>IF(15=15,IF($U15="","",IF((BX15)-(0)&gt;0,"X",IF((BY15)-(0)&gt;0,"?",""))),"")</f>
        <v/>
      </c>
      <c r="CA15" s="581">
        <f>IF(15=15,IF($U15="","",SUMPRODUCT(--ISNUMBER(SEARCH(" "&amp;$CR$2073:$CR$2093&amp;" ",$AA15)))),"")</f>
        <v>0</v>
      </c>
      <c r="CB15" s="581">
        <f>IF(15=15,IF($U15="","",SUMPRODUCT(--ISNUMBER(SEARCH(" "&amp;$CR$2094:$CR$2133&amp;" ",SUBSTITUTE(SUBSTITUTE($AA15," "&amp;$CR$1367&amp;" "," ")," "&amp;$CR$1366&amp;" "," "))))+--ISNUMBER(SEARCH("poiré",$V15))),"")</f>
        <v>0</v>
      </c>
      <c r="CC15" s="581" t="str">
        <f>IF(15=15,IF($U15="","",IF(OR(CA15&gt;0,ISNUMBER(SEARCH(" vinaigre de vin ",$AA15)),ISNUMBER(SEARCH(" vinaigre au vin ",$AA15))),"X",IF(CB15&gt;0,"?",""))),"")</f>
        <v/>
      </c>
      <c r="CD15" s="581">
        <f>IF(15=15,IF($U15="","",SUMPRODUCT(--ISNUMBER(SEARCH(" "&amp;$CR$2134:$CR$2146&amp;" ",$AA15)))),"")</f>
        <v>0</v>
      </c>
      <c r="CE15" s="581">
        <f>IF(15=15,IF($U15="","",SUMPRODUCT(--ISNUMBER(SEARCH(" "&amp;$CR$2147:$CR$2152&amp;" ",$AA15)))),"")</f>
        <v>0</v>
      </c>
      <c r="CF15" s="581" t="str">
        <f>IF(15=15,IF($U15="","",IF((CD15)-(0)&gt;0,"X",IF((CE15)-(0)&gt;0,"?",""))),"")</f>
        <v/>
      </c>
      <c r="CG15" s="581">
        <f>IF(15=15,IF($U15="","",SUMPRODUCT(--ISNUMBER(SEARCH(" "&amp;$CR$2153:$CR$2252&amp;" ",$CJ15)))),"")</f>
        <v>0</v>
      </c>
      <c r="CH15" s="581">
        <f>IF(15=15,IF($U15="","",SUMPRODUCT(--ISNUMBER(SEARCH(" "&amp;$CR$2253:$CR$2352&amp;" ",$CJ15)))),"")</f>
        <v>0</v>
      </c>
      <c r="CI15" s="581">
        <f>IF(15=15,IF($U15="","",SUMPRODUCT(--ISNUMBER(SEARCH(" "&amp;$CR$2353:$CR$2395&amp;" ",$CJ15)))),"")</f>
        <v>0</v>
      </c>
      <c r="CJ15" s="581"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poivre en mignonnette </v>
      </c>
      <c r="CK15" s="581">
        <f>IF(15=15,IF($U15="","",SUMPRODUCT(--ISNUMBER(SEARCH(" "&amp;$CR$2412:$CR$2416&amp;" ",$CJ15)))),"")</f>
        <v>0</v>
      </c>
      <c r="CL15" s="581" t="str">
        <f>IF(15=15,IF($U15="","",IF(SUM(CG15:CI15)&gt;0,"X",IF(CK15&gt;0,"?",""))),"")</f>
        <v/>
      </c>
      <c r="CM15" s="582"/>
      <c r="CN15" s="584" t="s">
        <v>2010</v>
      </c>
      <c r="CO15" s="584" t="s">
        <v>1887</v>
      </c>
      <c r="CP15" s="584" t="s">
        <v>1888</v>
      </c>
      <c r="CQ15" s="584" t="s">
        <v>2011</v>
      </c>
      <c r="CR15" s="584" t="s">
        <v>935</v>
      </c>
      <c r="CS15" s="584" t="s">
        <v>1890</v>
      </c>
      <c r="CT15" s="584" t="s">
        <v>1891</v>
      </c>
      <c r="CU15" s="584" t="s">
        <v>1892</v>
      </c>
      <c r="CV15" s="585" t="s">
        <v>1893</v>
      </c>
    </row>
    <row r="16" spans="1:101" ht="21.95" customHeight="1" x14ac:dyDescent="0.25">
      <c r="A16" s="597">
        <v>10</v>
      </c>
      <c r="B16" s="598" t="s">
        <v>2012</v>
      </c>
      <c r="C16" s="599" t="str">
        <f t="shared" si="0"/>
        <v>Échalotes ciselées surgelées</v>
      </c>
      <c r="D16" s="600"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601" t="str">
        <f>IF(16=16,IF($B16="","",AF16),"")</f>
        <v/>
      </c>
      <c r="F16" s="601" t="str">
        <f>IF(16=16,IF($B16="","",AI16),"")</f>
        <v/>
      </c>
      <c r="G16" s="601" t="str">
        <f>IF(16=16,IF($B16="","",AM16),"")</f>
        <v/>
      </c>
      <c r="H16" s="601" t="str">
        <f>IF(16=16,IF($B16="","",AZ16),"")</f>
        <v/>
      </c>
      <c r="I16" s="601" t="str">
        <f>IF(16=16,IF($B16="","",BB16),"")</f>
        <v/>
      </c>
      <c r="J16" s="601" t="str">
        <f>IF(16=16,IF($B16="","",BF16),"")</f>
        <v/>
      </c>
      <c r="K16" s="601" t="str">
        <f>IF(16=16,IF($B16="","",BM16),"")</f>
        <v/>
      </c>
      <c r="L16" s="601" t="str">
        <f>IF(16=16,IF($B16="","",BQ16),"")</f>
        <v/>
      </c>
      <c r="M16" s="601" t="str">
        <f>IF(16=16,IF($B16="","",BT16),"")</f>
        <v/>
      </c>
      <c r="N16" s="601" t="str">
        <f>IF(16=16,IF($B16="","",BW16),"")</f>
        <v/>
      </c>
      <c r="O16" s="601" t="str">
        <f>IF(16=16,IF($B16="","",BZ16),"")</f>
        <v/>
      </c>
      <c r="P16" s="601" t="str">
        <f>IF(16=16,IF($B16="","",CC16),"")</f>
        <v/>
      </c>
      <c r="Q16" s="601" t="str">
        <f>IF(16=16,IF($B16="","",CF16),"")</f>
        <v/>
      </c>
      <c r="R16" s="601" t="str">
        <f>IF(16=16,IF($B16="","",CL16),"")</f>
        <v/>
      </c>
      <c r="S16" s="602"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581" t="str">
        <f>IF(16=16,IF($B16="","",$B16),"")</f>
        <v>Échalotes ciselées surgelées</v>
      </c>
      <c r="V16" s="581" t="str">
        <f>IF(16=16,LOWER(CLEAN(SUBSTITUTE(SUBSTITUTE(SUBSTITUTE(SUBSTITUTE($U16,CHAR(160)," ")," "," "),CHAR(10)," "),CHAR(13)," "))),"")</f>
        <v>échalotes ciselées surgelées</v>
      </c>
      <c r="W16" s="581" t="str">
        <f>IF(16=16,SUBSTITUTE(SUBSTITUTE(SUBSTITUTE(SUBSTITUTE(SUBSTITUTE(SUBSTITUTE(SUBSTITUTE(SUBSTITUTE(SUBSTITUTE(SUBSTITUTE(SUBSTITUTE(SUBSTITUTE($V16,"œ","oe"),"æ","ae"),"à","a"),"á","a"),"â","a"),"ä","a"),"ã","a"),"ç","c"),"è","e"),"é","e"),"ê","e"),"ë","e"),"")</f>
        <v>echalotes ciselees surgelees</v>
      </c>
      <c r="X16" s="581" t="str">
        <f>IF(16=16,SUBSTITUTE(SUBSTITUTE(SUBSTITUTE(SUBSTITUTE(SUBSTITUTE(SUBSTITUTE(SUBSTITUTE(SUBSTITUTE(SUBSTITUTE(SUBSTITUTE(SUBSTITUTE(SUBSTITUTE(SUBSTITUTE(SUBSTITUTE(SUBSTITUTE(SUBSTITUTE($W16,"ì","i"),"í","i"),"î","i"),"ï","i"),"ñ","n"),"ò","o"),"ó","o"),"ô","o"),"ö","o"),"õ","o"),"ù","u"),"ú","u"),"û","u"),"ü","u"),"ý","y"),"ÿ","y"),"")</f>
        <v>echalotes ciselees surgelees</v>
      </c>
      <c r="Y16" s="581" t="str">
        <f>IF(16=16,SUBSTITUTE(SUBSTITUTE(SUBSTITUTE(SUBSTITUTE(SUBSTITUTE(SUBSTITUTE(SUBSTITUTE(SUBSTITUTE(SUBSTITUTE(SUBSTITUTE(SUBSTITUTE(SUBSTITUTE(SUBSTITUTE(SUBSTITUTE($X16,"’"," "),"`"," "),"–"," "),"—"," "),"-"," "),"'"," "),"/"," "),"_"," "),","," "),"."," "),"("," "),")"," "),";"," "),":"," "),"")</f>
        <v>echalotes ciselees surgelees</v>
      </c>
      <c r="Z16" s="581" t="str">
        <f>IF(16=16,SUBSTITUTE(SUBSTITUTE(SUBSTITUTE(SUBSTITUTE(SUBSTITUTE(SUBSTITUTE(SUBSTITUTE(SUBSTITUTE(SUBSTITUTE(SUBSTITUTE(SUBSTITUTE(SUBSTITUTE(SUBSTITUTE(SUBSTITUTE(SUBSTITUTE($Y16,"!"," "),"?"," "),"+"," "),"*"," "),"&amp;"," "),"["," "),"]"," "),"{"," "),"}"," "),"%"," "),"="," "),"\"," "),"|"," "),"&lt;"," "),"&gt;"," "),"")</f>
        <v>echalotes ciselees surgelees</v>
      </c>
      <c r="AA16" s="581" t="str">
        <f>IF(16=16," "&amp;TRIM(SUBSTITUTE(SUBSTITUTE(SUBSTITUTE(SUBSTITUTE(SUBSTITUTE(SUBSTITUTE($Z16,CHAR(34)," "),"  "," "),"  "," "),"  "," "),"  "," "),"  "," "))&amp;" ","")</f>
        <v xml:space="preserve"> echalotes ciselees surgelees </v>
      </c>
      <c r="AB16" s="581">
        <f>IF(16=16,IF($U16="","",SUMPRODUCT(--ISNUMBER(SEARCH(" "&amp;$CR$2:$CR$101&amp;" ",$AD16)))),"")</f>
        <v>0</v>
      </c>
      <c r="AC16" s="581">
        <f>IF(16=16,IF($U16="","",SUMPRODUCT(--ISNUMBER(SEARCH(" "&amp;$CR$102:$CR$151&amp;" ",$AD16)))),"")</f>
        <v>0</v>
      </c>
      <c r="AD16" s="581" t="e">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6" s="581">
        <f>IF(16=16,IF($U16="","",SUMPRODUCT(--ISNUMBER(SEARCH(" "&amp;$CR$184:$CR$205&amp;" ",$AD16)))),"")</f>
        <v>0</v>
      </c>
      <c r="AF16" s="581" t="str">
        <f>IF(16=16,IF($U16="","",IF(SUM(AB16:AC16)+SUMPRODUCT(--ISNUMBER(SEARCH(" "&amp;$CR$2418:$CR$2420&amp;" ",$AD16)))&gt;0,"X",IF(AE16&gt;0,"?",""))),"")</f>
        <v/>
      </c>
      <c r="AG16" s="581">
        <f>IF(16=16,IF($U16="","",SUMPRODUCT(--ISNUMBER(SEARCH(" "&amp;$CR$206:$CR$305&amp;" ",$AA16)))),"")</f>
        <v>0</v>
      </c>
      <c r="AH16" s="581">
        <f>IF(16=16,IF($U16="","",SUMPRODUCT(--ISNUMBER(SEARCH(" "&amp;$CR$306:$CR$340&amp;" ",$AA16)))),"")</f>
        <v>0</v>
      </c>
      <c r="AI16" s="581" t="str">
        <f>IF(16=16,IF($U16="","",IF((SUM(AG16:AH16))-(0)&gt;0,"X",IF((0)-(0)&gt;0,"?",""))),"")</f>
        <v/>
      </c>
      <c r="AJ16" s="581">
        <f>IF(16=16,IF($U16="","",SUMPRODUCT(--ISNUMBER(SEARCH(" "&amp;$CR$341:$CR$398&amp;" ",$AA16)))),"")</f>
        <v>0</v>
      </c>
      <c r="AK16" s="581">
        <f>IF(16=16,IF($U16="","",SUMPRODUCT(--ISNUMBER(SEARCH(" "&amp;$CR$399:$CR$426&amp;" ",$AL16)))+SUMPRODUCT(--ISNUMBER(SEARCH(" "&amp;$CR$2440:$CR$2453&amp;" ",$AL16)))),"")</f>
        <v>0</v>
      </c>
      <c r="AL16" s="581" t="str">
        <f>IF(16=16,IF($U16="","",SUBSTITUTE(SUBSTITUTE(SUBSTITUTE(SUBSTITUTE(SUBSTITUTE(SUBSTITUTE(SUBSTITUTE(SUBSTITUTE(SUBSTITUTE(SUBSTITUTE(SUBSTITUTE(SUBSTITUTE(SUBSTITUTE($AA16," "&amp;$CR$433&amp;" "," ")," "&amp;$CR$431&amp;" "," ")," "&amp;$CR$2438&amp;" "," ")," "&amp;$CR$2439&amp;" "," ")," "&amp;$CR$428&amp;" "," ")," "&amp;$CR$432&amp;" "," ")," "&amp;$CR$434&amp;" "," ")," "&amp;$CR$429&amp;" "," ")," "&amp;$CR$427&amp;" "," ")," "&amp;$CR$1367&amp;" "," ")," "&amp;$CR$435&amp;" "," ")," "&amp;$CR$1366&amp;" "," ")," "&amp;$CR$430&amp;" "," ")),"")</f>
        <v xml:space="preserve"> echalotes ciselees surgelees </v>
      </c>
      <c r="AM16" s="581" t="str">
        <f>IF(16=16,IF($U16="","",IF(AJ16&gt;0,"X",IF(AK16&gt;0,"?",""))),"")</f>
        <v/>
      </c>
      <c r="AN16" s="581">
        <f>IF(16=16,IF($U16="","",SUMPRODUCT(--ISNUMBER(SEARCH(" "&amp;$CR$436:$CR$535&amp;" ",$AX16)))),"")</f>
        <v>0</v>
      </c>
      <c r="AO16" s="581">
        <f>IF(16=16,IF($U16="","",SUMPRODUCT(--ISNUMBER(SEARCH(" "&amp;$CR$536:$CR$635&amp;" ",$AX16)))),"")</f>
        <v>0</v>
      </c>
      <c r="AP16" s="581">
        <f>IF(16=16,IF($U16="","",SUMPRODUCT(--ISNUMBER(SEARCH(" "&amp;$CR$636:$CR$735&amp;" ",$AX16)))),"")</f>
        <v>0</v>
      </c>
      <c r="AQ16" s="581">
        <f>IF(16=16,IF($U16="","",SUMPRODUCT(--ISNUMBER(SEARCH(" "&amp;$CR$736:$CR$835&amp;" ",$AX16)))),"")</f>
        <v>0</v>
      </c>
      <c r="AR16" s="581">
        <f>IF(16=16,IF($U16="","",SUMPRODUCT(--ISNUMBER(SEARCH(" "&amp;$CR$836:$CR$935&amp;" ",$AX16)))),"")</f>
        <v>0</v>
      </c>
      <c r="AS16" s="581">
        <f>IF(16=16,IF($U16="","",SUMPRODUCT(--ISNUMBER(SEARCH(" "&amp;$CR$936:$CR$1035&amp;" ",$AX16)))),"")</f>
        <v>0</v>
      </c>
      <c r="AT16" s="581">
        <f>IF(16=16,IF($U16="","",SUMPRODUCT(--ISNUMBER(SEARCH(" "&amp;$CR$1036:$CR$1135&amp;" ",$AX16)))),"")</f>
        <v>0</v>
      </c>
      <c r="AU16" s="581">
        <f>IF(16=16,IF($U16="","",SUMPRODUCT(--ISNUMBER(SEARCH(" "&amp;$CR$1136:$CR$1235&amp;" ",$AX16)))),"")</f>
        <v>0</v>
      </c>
      <c r="AV16" s="581">
        <f>IF(16=16,IF($U16="","",SUMPRODUCT(--ISNUMBER(SEARCH(" "&amp;$CR$1236:$CR$1335&amp;" ",$AX16)))),"")</f>
        <v>0</v>
      </c>
      <c r="AW16" s="581">
        <f>IF(16=16,IF($U16="","",SUMPRODUCT(--ISNUMBER(SEARCH(" "&amp;$CR$1336:$CR$1363&amp;" ",$AX16)))),"")</f>
        <v>0</v>
      </c>
      <c r="AX16" s="581" t="str">
        <f>IF(16=16,IF($U16="","",SUBSTITUTE(SUBSTITUTE(SUBSTITUTE(SUBSTITUTE(SUBSTITUTE(SUBSTITUTE(SUBSTITUTE(SUBSTITUTE(SUBSTITUTE($AA16," "&amp;$CR$1365&amp;" "," ")," "&amp;$CR$1364&amp;" "," ")," "&amp;$CR$1370&amp;" "," ")," "&amp;$CR$1371&amp;" "," ")," "&amp;$CR$1367&amp;" "," ")," "&amp;$CR$1369&amp;" "," ")," "&amp;$CR$1366&amp;" "," ")," "&amp;$CR$1368&amp;" "," ")," "&amp;$CR$1372&amp;" "," ")),"")</f>
        <v xml:space="preserve"> echalotes ciselees surgelees </v>
      </c>
      <c r="AY16" s="581">
        <f>IF(16=16,IF($U16="","",SUMPRODUCT(--ISNUMBER(SEARCH(" "&amp;$CR$1373:$CR$1383&amp;" ",$AX16)))),"")</f>
        <v>0</v>
      </c>
      <c r="AZ16" s="581" t="str">
        <f>IF(16=16,IF($U16="","",IF(SUM(AN16:AW16)+SUMPRODUCT(--ISNUMBER(SEARCH(" "&amp;$CR$2421:$CR$2422&amp;" ",$AX16)))&gt;0,"X",IF(AY16&gt;0,"?",""))),"")</f>
        <v/>
      </c>
      <c r="BA16" s="581">
        <f>IF(16=16,IF($U16="","",SUMPRODUCT(--ISNUMBER(SEARCH(" "&amp;$CR$1384:$CR$1404&amp;" ",$AA16)))),"")</f>
        <v>0</v>
      </c>
      <c r="BB16" s="581" t="str">
        <f>IF(16=16,IF($U16="","",IF((BA16)-(0)&gt;0,"X",IF((0)-(0)&gt;0,"?",""))),"")</f>
        <v/>
      </c>
      <c r="BC16" s="581">
        <f>IF(16=16,IF($U16="","",SUMPRODUCT(--ISNUMBER(SEARCH(" "&amp;$CR$1405:$CR$1442&amp;" ",$BD16)))),"")</f>
        <v>0</v>
      </c>
      <c r="BD16" s="581" t="str">
        <f>IF(16=16,IF($U16="","",SUBSTITUTE(SUBSTITUTE($AA16," "&amp;$CR$1443&amp;" "," ")," "&amp;$CR$1444&amp;" "," ")),"")</f>
        <v xml:space="preserve"> echalotes ciselees surgelees </v>
      </c>
      <c r="BE16" s="581">
        <f>IF(16=16,IF($U16="","",SUMPRODUCT(--ISNUMBER(SEARCH(" "&amp;$CR$1445:$CR$1455&amp;" ",$BD16)))),"")</f>
        <v>0</v>
      </c>
      <c r="BF16" s="581" t="str">
        <f>IF(16=16,IF($U16="","",IF(BC16&gt;0,"X",IF(BE16&gt;0,"?",""))),"")</f>
        <v/>
      </c>
      <c r="BG16" s="581">
        <f>IF(16=16,IF($U16="","",SUMPRODUCT(--ISNUMBER(SEARCH(" "&amp;$CR$1456:$CR$1555&amp;" ",$BJ16)))),"")</f>
        <v>0</v>
      </c>
      <c r="BH16" s="581">
        <f>IF(16=16,IF($U16="","",SUMPRODUCT(--ISNUMBER(SEARCH(" "&amp;$CR$1556:$CR$1655&amp;" ",$BJ16)))),"")</f>
        <v>0</v>
      </c>
      <c r="BI16" s="581">
        <f>IF(16=16,IF($U16="","",SUMPRODUCT(--ISNUMBER(SEARCH(" "&amp;$CR$1656:$CR$1739&amp;" ",$BJ16)))),"")</f>
        <v>0</v>
      </c>
      <c r="BJ16" s="581"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ciselees surgelees </v>
      </c>
      <c r="BK16" s="581">
        <f>IF(16=16,IF($U16="","",SUMPRODUCT(--ISNUMBER(SEARCH(" "&amp;$CR$1790:$CR$1869&amp;" ",$BL16)))+SUMPRODUCT(--ISNUMBER(SEARCH(" "&amp;$CR$2440:$CR$2453&amp;" ",$BL16)))),"")</f>
        <v>0</v>
      </c>
      <c r="BL16" s="581"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echalotes ciselees surgelees </v>
      </c>
      <c r="BM16" s="581" t="str">
        <f>IF(16=16,IF($U16="","",IF(SUM(BG16:BI16)+SUMPRODUCT(--ISNUMBER(SEARCH(" "&amp;$CR$2423:$CR$2424&amp;" ",$BJ16)))&gt;0,"X",IF(BK16&gt;0,"?",""))),"")</f>
        <v/>
      </c>
      <c r="BN16" s="581">
        <f>IF(16=16,IF($U16="","",SUMPRODUCT(--ISNUMBER(SEARCH(" "&amp;$CR$1879:$CR$1936&amp;" ",$BO16)))),"")</f>
        <v>0</v>
      </c>
      <c r="BO16" s="581"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ciselees surgelees </v>
      </c>
      <c r="BP16" s="581">
        <f>IF(16=16,IF($U16="","",SUMPRODUCT(--ISNUMBER(SEARCH(" "&amp;$CR$1960:$CR$1976&amp;" ",$BO16)))),"")</f>
        <v>0</v>
      </c>
      <c r="BQ16" s="581" t="str">
        <f>IF(16=16,IF($U16="","",IF(BN16&gt;0,"X",IF(BP16&gt;0,"?",""))),"")</f>
        <v/>
      </c>
      <c r="BR16" s="581">
        <f>IF(16=16,IF($U16="","",SUMPRODUCT(--ISNUMBER(SEARCH(" "&amp;$CR$1977:$CR$1990&amp;" ",$AA16)))),"")</f>
        <v>0</v>
      </c>
      <c r="BS16" s="581">
        <f>IF(16=16,IF($U16="","",SUMPRODUCT(--ISNUMBER(SEARCH(" "&amp;$CR$1991:$CR$2005&amp;" ",$AA16)))),"")</f>
        <v>0</v>
      </c>
      <c r="BT16" s="581" t="str">
        <f>IF(16=16,IF($U16="","",IF((BR16)-(0)&gt;0,"X",IF((BS16)-(0)&gt;0,"?",""))),"")</f>
        <v/>
      </c>
      <c r="BU16" s="581">
        <f>IF(16=16,IF($U16="","",SUMPRODUCT(--ISNUMBER(SEARCH(" "&amp;$CR$2006:$CR$2023&amp;" ",$AA16)))),"")</f>
        <v>0</v>
      </c>
      <c r="BV16" s="581">
        <f>IF(16=16,IF($U16="","",SUMPRODUCT(--ISNUMBER(SEARCH(" "&amp;$CR$2024:$CR$2038&amp;" ",$AA16)))),"")</f>
        <v>0</v>
      </c>
      <c r="BW16" s="581" t="str">
        <f>IF(16=16,IF($U16="","",IF((BU16)-(0)&gt;0,"X",IF((BV16)-(0)&gt;0,"?",""))),"")</f>
        <v/>
      </c>
      <c r="BX16" s="581">
        <f>IF(16=16,IF($U16="","",SUMPRODUCT(--ISNUMBER(SEARCH(" "&amp;$CR$2039:$CR$2057&amp;" ",$AA16)))),"")</f>
        <v>0</v>
      </c>
      <c r="BY16" s="581">
        <f>IF(16=16,IF($U16="","",SUMPRODUCT(--ISNUMBER(SEARCH(" "&amp;$CR$2058:$CR$2072&amp;" ",$AA16)))),"")</f>
        <v>0</v>
      </c>
      <c r="BZ16" s="581" t="str">
        <f>IF(16=16,IF($U16="","",IF((BX16)-(0)&gt;0,"X",IF((BY16)-(0)&gt;0,"?",""))),"")</f>
        <v/>
      </c>
      <c r="CA16" s="581">
        <f>IF(16=16,IF($U16="","",SUMPRODUCT(--ISNUMBER(SEARCH(" "&amp;$CR$2073:$CR$2093&amp;" ",$AA16)))),"")</f>
        <v>0</v>
      </c>
      <c r="CB16" s="581">
        <f>IF(16=16,IF($U16="","",SUMPRODUCT(--ISNUMBER(SEARCH(" "&amp;$CR$2094:$CR$2133&amp;" ",SUBSTITUTE(SUBSTITUTE($AA16," "&amp;$CR$1367&amp;" "," ")," "&amp;$CR$1366&amp;" "," "))))+--ISNUMBER(SEARCH("poiré",$V16))),"")</f>
        <v>0</v>
      </c>
      <c r="CC16" s="581" t="str">
        <f>IF(16=16,IF($U16="","",IF(OR(CA16&gt;0,ISNUMBER(SEARCH(" vinaigre de vin ",$AA16)),ISNUMBER(SEARCH(" vinaigre au vin ",$AA16))),"X",IF(CB16&gt;0,"?",""))),"")</f>
        <v/>
      </c>
      <c r="CD16" s="581">
        <f>IF(16=16,IF($U16="","",SUMPRODUCT(--ISNUMBER(SEARCH(" "&amp;$CR$2134:$CR$2146&amp;" ",$AA16)))),"")</f>
        <v>0</v>
      </c>
      <c r="CE16" s="581">
        <f>IF(16=16,IF($U16="","",SUMPRODUCT(--ISNUMBER(SEARCH(" "&amp;$CR$2147:$CR$2152&amp;" ",$AA16)))),"")</f>
        <v>0</v>
      </c>
      <c r="CF16" s="581" t="str">
        <f>IF(16=16,IF($U16="","",IF((CD16)-(0)&gt;0,"X",IF((CE16)-(0)&gt;0,"?",""))),"")</f>
        <v/>
      </c>
      <c r="CG16" s="581">
        <f>IF(16=16,IF($U16="","",SUMPRODUCT(--ISNUMBER(SEARCH(" "&amp;$CR$2153:$CR$2252&amp;" ",$CJ16)))),"")</f>
        <v>0</v>
      </c>
      <c r="CH16" s="581">
        <f>IF(16=16,IF($U16="","",SUMPRODUCT(--ISNUMBER(SEARCH(" "&amp;$CR$2253:$CR$2352&amp;" ",$CJ16)))),"")</f>
        <v>0</v>
      </c>
      <c r="CI16" s="581">
        <f>IF(16=16,IF($U16="","",SUMPRODUCT(--ISNUMBER(SEARCH(" "&amp;$CR$2353:$CR$2395&amp;" ",$CJ16)))),"")</f>
        <v>0</v>
      </c>
      <c r="CJ16" s="581"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echalotes ciselees surgelees </v>
      </c>
      <c r="CK16" s="581">
        <f>IF(16=16,IF($U16="","",SUMPRODUCT(--ISNUMBER(SEARCH(" "&amp;$CR$2412:$CR$2416&amp;" ",$CJ16)))),"")</f>
        <v>0</v>
      </c>
      <c r="CL16" s="581" t="str">
        <f>IF(16=16,IF($U16="","",IF(SUM(CG16:CI16)&gt;0,"X",IF(CK16&gt;0,"?",""))),"")</f>
        <v/>
      </c>
      <c r="CM16" s="582"/>
      <c r="CN16" s="584" t="s">
        <v>2013</v>
      </c>
      <c r="CO16" s="584" t="s">
        <v>1887</v>
      </c>
      <c r="CP16" s="584" t="s">
        <v>1888</v>
      </c>
      <c r="CQ16" s="584" t="s">
        <v>2014</v>
      </c>
      <c r="CR16" s="584" t="s">
        <v>2014</v>
      </c>
      <c r="CS16" s="584" t="s">
        <v>1890</v>
      </c>
      <c r="CT16" s="584" t="s">
        <v>1891</v>
      </c>
      <c r="CU16" s="584" t="s">
        <v>1892</v>
      </c>
      <c r="CV16" s="585" t="s">
        <v>1893</v>
      </c>
    </row>
    <row r="17" spans="1:100" ht="21.95" customHeight="1" x14ac:dyDescent="0.25">
      <c r="A17" s="597">
        <v>11</v>
      </c>
      <c r="B17" s="598" t="s">
        <v>2015</v>
      </c>
      <c r="C17" s="599" t="str">
        <f t="shared" si="0"/>
        <v>Carottes en dés surgelées</v>
      </c>
      <c r="D17" s="600"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601" t="str">
        <f>IF(17=17,IF($B17="","",AF17),"")</f>
        <v/>
      </c>
      <c r="F17" s="601" t="str">
        <f>IF(17=17,IF($B17="","",AI17),"")</f>
        <v/>
      </c>
      <c r="G17" s="601" t="str">
        <f>IF(17=17,IF($B17="","",AM17),"")</f>
        <v/>
      </c>
      <c r="H17" s="601" t="str">
        <f>IF(17=17,IF($B17="","",AZ17),"")</f>
        <v/>
      </c>
      <c r="I17" s="601" t="str">
        <f>IF(17=17,IF($B17="","",BB17),"")</f>
        <v/>
      </c>
      <c r="J17" s="601" t="str">
        <f>IF(17=17,IF($B17="","",BF17),"")</f>
        <v/>
      </c>
      <c r="K17" s="601" t="str">
        <f>IF(17=17,IF($B17="","",BM17),"")</f>
        <v/>
      </c>
      <c r="L17" s="601" t="str">
        <f>IF(17=17,IF($B17="","",BQ17),"")</f>
        <v/>
      </c>
      <c r="M17" s="601" t="str">
        <f>IF(17=17,IF($B17="","",BT17),"")</f>
        <v/>
      </c>
      <c r="N17" s="601" t="str">
        <f>IF(17=17,IF($B17="","",BW17),"")</f>
        <v/>
      </c>
      <c r="O17" s="601" t="str">
        <f>IF(17=17,IF($B17="","",BZ17),"")</f>
        <v/>
      </c>
      <c r="P17" s="601" t="str">
        <f>IF(17=17,IF($B17="","",CC17),"")</f>
        <v/>
      </c>
      <c r="Q17" s="601" t="str">
        <f>IF(17=17,IF($B17="","",CF17),"")</f>
        <v/>
      </c>
      <c r="R17" s="601" t="str">
        <f>IF(17=17,IF($B17="","",CL17),"")</f>
        <v/>
      </c>
      <c r="S17" s="602"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581" t="str">
        <f>IF(17=17,IF($B17="","",$B17),"")</f>
        <v>Carottes en dés surgelées</v>
      </c>
      <c r="V17" s="581" t="str">
        <f>IF(17=17,LOWER(CLEAN(SUBSTITUTE(SUBSTITUTE(SUBSTITUTE(SUBSTITUTE($U17,CHAR(160)," ")," "," "),CHAR(10)," "),CHAR(13)," "))),"")</f>
        <v>carottes en dés surgelées</v>
      </c>
      <c r="W17" s="581" t="str">
        <f>IF(17=17,SUBSTITUTE(SUBSTITUTE(SUBSTITUTE(SUBSTITUTE(SUBSTITUTE(SUBSTITUTE(SUBSTITUTE(SUBSTITUTE(SUBSTITUTE(SUBSTITUTE(SUBSTITUTE(SUBSTITUTE($V17,"œ","oe"),"æ","ae"),"à","a"),"á","a"),"â","a"),"ä","a"),"ã","a"),"ç","c"),"è","e"),"é","e"),"ê","e"),"ë","e"),"")</f>
        <v>carottes en des surgelees</v>
      </c>
      <c r="X17" s="581" t="str">
        <f>IF(17=17,SUBSTITUTE(SUBSTITUTE(SUBSTITUTE(SUBSTITUTE(SUBSTITUTE(SUBSTITUTE(SUBSTITUTE(SUBSTITUTE(SUBSTITUTE(SUBSTITUTE(SUBSTITUTE(SUBSTITUTE(SUBSTITUTE(SUBSTITUTE(SUBSTITUTE(SUBSTITUTE($W17,"ì","i"),"í","i"),"î","i"),"ï","i"),"ñ","n"),"ò","o"),"ó","o"),"ô","o"),"ö","o"),"õ","o"),"ù","u"),"ú","u"),"û","u"),"ü","u"),"ý","y"),"ÿ","y"),"")</f>
        <v>carottes en des surgelees</v>
      </c>
      <c r="Y17" s="581" t="str">
        <f>IF(17=17,SUBSTITUTE(SUBSTITUTE(SUBSTITUTE(SUBSTITUTE(SUBSTITUTE(SUBSTITUTE(SUBSTITUTE(SUBSTITUTE(SUBSTITUTE(SUBSTITUTE(SUBSTITUTE(SUBSTITUTE(SUBSTITUTE(SUBSTITUTE($X17,"’"," "),"`"," "),"–"," "),"—"," "),"-"," "),"'"," "),"/"," "),"_"," "),","," "),"."," "),"("," "),")"," "),";"," "),":"," "),"")</f>
        <v>carottes en des surgelees</v>
      </c>
      <c r="Z17" s="581" t="str">
        <f>IF(17=17,SUBSTITUTE(SUBSTITUTE(SUBSTITUTE(SUBSTITUTE(SUBSTITUTE(SUBSTITUTE(SUBSTITUTE(SUBSTITUTE(SUBSTITUTE(SUBSTITUTE(SUBSTITUTE(SUBSTITUTE(SUBSTITUTE(SUBSTITUTE(SUBSTITUTE($Y17,"!"," "),"?"," "),"+"," "),"*"," "),"&amp;"," "),"["," "),"]"," "),"{"," "),"}"," "),"%"," "),"="," "),"\"," "),"|"," "),"&lt;"," "),"&gt;"," "),"")</f>
        <v>carottes en des surgelees</v>
      </c>
      <c r="AA17" s="581" t="str">
        <f>IF(17=17," "&amp;TRIM(SUBSTITUTE(SUBSTITUTE(SUBSTITUTE(SUBSTITUTE(SUBSTITUTE(SUBSTITUTE($Z17,CHAR(34)," "),"  "," "),"  "," "),"  "," "),"  "," "),"  "," "))&amp;" ","")</f>
        <v xml:space="preserve"> carottes en des surgelees </v>
      </c>
      <c r="AB17" s="581">
        <f>IF(17=17,IF($U17="","",SUMPRODUCT(--ISNUMBER(SEARCH(" "&amp;$CR$2:$CR$101&amp;" ",$AD17)))),"")</f>
        <v>0</v>
      </c>
      <c r="AC17" s="581">
        <f>IF(17=17,IF($U17="","",SUMPRODUCT(--ISNUMBER(SEARCH(" "&amp;$CR$102:$CR$151&amp;" ",$AD17)))),"")</f>
        <v>0</v>
      </c>
      <c r="AD17" s="581" t="e">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7" s="581">
        <f>IF(17=17,IF($U17="","",SUMPRODUCT(--ISNUMBER(SEARCH(" "&amp;$CR$184:$CR$205&amp;" ",$AD17)))),"")</f>
        <v>0</v>
      </c>
      <c r="AF17" s="581" t="str">
        <f>IF(17=17,IF($U17="","",IF(SUM(AB17:AC17)+SUMPRODUCT(--ISNUMBER(SEARCH(" "&amp;$CR$2418:$CR$2420&amp;" ",$AD17)))&gt;0,"X",IF(AE17&gt;0,"?",""))),"")</f>
        <v/>
      </c>
      <c r="AG17" s="581">
        <f>IF(17=17,IF($U17="","",SUMPRODUCT(--ISNUMBER(SEARCH(" "&amp;$CR$206:$CR$305&amp;" ",$AA17)))),"")</f>
        <v>0</v>
      </c>
      <c r="AH17" s="581">
        <f>IF(17=17,IF($U17="","",SUMPRODUCT(--ISNUMBER(SEARCH(" "&amp;$CR$306:$CR$340&amp;" ",$AA17)))),"")</f>
        <v>0</v>
      </c>
      <c r="AI17" s="581" t="str">
        <f>IF(17=17,IF($U17="","",IF((SUM(AG17:AH17))-(0)&gt;0,"X",IF((0)-(0)&gt;0,"?",""))),"")</f>
        <v/>
      </c>
      <c r="AJ17" s="581">
        <f>IF(17=17,IF($U17="","",SUMPRODUCT(--ISNUMBER(SEARCH(" "&amp;$CR$341:$CR$398&amp;" ",$AA17)))),"")</f>
        <v>0</v>
      </c>
      <c r="AK17" s="581">
        <f>IF(17=17,IF($U17="","",SUMPRODUCT(--ISNUMBER(SEARCH(" "&amp;$CR$399:$CR$426&amp;" ",$AL17)))+SUMPRODUCT(--ISNUMBER(SEARCH(" "&amp;$CR$2440:$CR$2453&amp;" ",$AL17)))),"")</f>
        <v>0</v>
      </c>
      <c r="AL17" s="581" t="str">
        <f>IF(17=17,IF($U17="","",SUBSTITUTE(SUBSTITUTE(SUBSTITUTE(SUBSTITUTE(SUBSTITUTE(SUBSTITUTE(SUBSTITUTE(SUBSTITUTE(SUBSTITUTE(SUBSTITUTE(SUBSTITUTE(SUBSTITUTE(SUBSTITUTE($AA17," "&amp;$CR$433&amp;" "," ")," "&amp;$CR$431&amp;" "," ")," "&amp;$CR$2438&amp;" "," ")," "&amp;$CR$2439&amp;" "," ")," "&amp;$CR$428&amp;" "," ")," "&amp;$CR$432&amp;" "," ")," "&amp;$CR$434&amp;" "," ")," "&amp;$CR$429&amp;" "," ")," "&amp;$CR$427&amp;" "," ")," "&amp;$CR$1367&amp;" "," ")," "&amp;$CR$435&amp;" "," ")," "&amp;$CR$1366&amp;" "," ")," "&amp;$CR$430&amp;" "," ")),"")</f>
        <v xml:space="preserve"> carottes en des surgelees </v>
      </c>
      <c r="AM17" s="581" t="str">
        <f>IF(17=17,IF($U17="","",IF(AJ17&gt;0,"X",IF(AK17&gt;0,"?",""))),"")</f>
        <v/>
      </c>
      <c r="AN17" s="581">
        <f>IF(17=17,IF($U17="","",SUMPRODUCT(--ISNUMBER(SEARCH(" "&amp;$CR$436:$CR$535&amp;" ",$AX17)))),"")</f>
        <v>0</v>
      </c>
      <c r="AO17" s="581">
        <f>IF(17=17,IF($U17="","",SUMPRODUCT(--ISNUMBER(SEARCH(" "&amp;$CR$536:$CR$635&amp;" ",$AX17)))),"")</f>
        <v>0</v>
      </c>
      <c r="AP17" s="581">
        <f>IF(17=17,IF($U17="","",SUMPRODUCT(--ISNUMBER(SEARCH(" "&amp;$CR$636:$CR$735&amp;" ",$AX17)))),"")</f>
        <v>0</v>
      </c>
      <c r="AQ17" s="581">
        <f>IF(17=17,IF($U17="","",SUMPRODUCT(--ISNUMBER(SEARCH(" "&amp;$CR$736:$CR$835&amp;" ",$AX17)))),"")</f>
        <v>0</v>
      </c>
      <c r="AR17" s="581">
        <f>IF(17=17,IF($U17="","",SUMPRODUCT(--ISNUMBER(SEARCH(" "&amp;$CR$836:$CR$935&amp;" ",$AX17)))),"")</f>
        <v>0</v>
      </c>
      <c r="AS17" s="581">
        <f>IF(17=17,IF($U17="","",SUMPRODUCT(--ISNUMBER(SEARCH(" "&amp;$CR$936:$CR$1035&amp;" ",$AX17)))),"")</f>
        <v>0</v>
      </c>
      <c r="AT17" s="581">
        <f>IF(17=17,IF($U17="","",SUMPRODUCT(--ISNUMBER(SEARCH(" "&amp;$CR$1036:$CR$1135&amp;" ",$AX17)))),"")</f>
        <v>0</v>
      </c>
      <c r="AU17" s="581">
        <f>IF(17=17,IF($U17="","",SUMPRODUCT(--ISNUMBER(SEARCH(" "&amp;$CR$1136:$CR$1235&amp;" ",$AX17)))),"")</f>
        <v>0</v>
      </c>
      <c r="AV17" s="581">
        <f>IF(17=17,IF($U17="","",SUMPRODUCT(--ISNUMBER(SEARCH(" "&amp;$CR$1236:$CR$1335&amp;" ",$AX17)))),"")</f>
        <v>0</v>
      </c>
      <c r="AW17" s="581">
        <f>IF(17=17,IF($U17="","",SUMPRODUCT(--ISNUMBER(SEARCH(" "&amp;$CR$1336:$CR$1363&amp;" ",$AX17)))),"")</f>
        <v>0</v>
      </c>
      <c r="AX17" s="581" t="str">
        <f>IF(17=17,IF($U17="","",SUBSTITUTE(SUBSTITUTE(SUBSTITUTE(SUBSTITUTE(SUBSTITUTE(SUBSTITUTE(SUBSTITUTE(SUBSTITUTE(SUBSTITUTE($AA17," "&amp;$CR$1365&amp;" "," ")," "&amp;$CR$1364&amp;" "," ")," "&amp;$CR$1370&amp;" "," ")," "&amp;$CR$1371&amp;" "," ")," "&amp;$CR$1367&amp;" "," ")," "&amp;$CR$1369&amp;" "," ")," "&amp;$CR$1366&amp;" "," ")," "&amp;$CR$1368&amp;" "," ")," "&amp;$CR$1372&amp;" "," ")),"")</f>
        <v xml:space="preserve"> carottes en des surgelees </v>
      </c>
      <c r="AY17" s="581">
        <f>IF(17=17,IF($U17="","",SUMPRODUCT(--ISNUMBER(SEARCH(" "&amp;$CR$1373:$CR$1383&amp;" ",$AX17)))),"")</f>
        <v>0</v>
      </c>
      <c r="AZ17" s="581" t="str">
        <f>IF(17=17,IF($U17="","",IF(SUM(AN17:AW17)+SUMPRODUCT(--ISNUMBER(SEARCH(" "&amp;$CR$2421:$CR$2422&amp;" ",$AX17)))&gt;0,"X",IF(AY17&gt;0,"?",""))),"")</f>
        <v/>
      </c>
      <c r="BA17" s="581">
        <f>IF(17=17,IF($U17="","",SUMPRODUCT(--ISNUMBER(SEARCH(" "&amp;$CR$1384:$CR$1404&amp;" ",$AA17)))),"")</f>
        <v>0</v>
      </c>
      <c r="BB17" s="581" t="str">
        <f>IF(17=17,IF($U17="","",IF((BA17)-(0)&gt;0,"X",IF((0)-(0)&gt;0,"?",""))),"")</f>
        <v/>
      </c>
      <c r="BC17" s="581">
        <f>IF(17=17,IF($U17="","",SUMPRODUCT(--ISNUMBER(SEARCH(" "&amp;$CR$1405:$CR$1442&amp;" ",$BD17)))),"")</f>
        <v>0</v>
      </c>
      <c r="BD17" s="581" t="str">
        <f>IF(17=17,IF($U17="","",SUBSTITUTE(SUBSTITUTE($AA17," "&amp;$CR$1443&amp;" "," ")," "&amp;$CR$1444&amp;" "," ")),"")</f>
        <v xml:space="preserve"> carottes en des surgelees </v>
      </c>
      <c r="BE17" s="581">
        <f>IF(17=17,IF($U17="","",SUMPRODUCT(--ISNUMBER(SEARCH(" "&amp;$CR$1445:$CR$1455&amp;" ",$BD17)))),"")</f>
        <v>0</v>
      </c>
      <c r="BF17" s="581" t="str">
        <f>IF(17=17,IF($U17="","",IF(BC17&gt;0,"X",IF(BE17&gt;0,"?",""))),"")</f>
        <v/>
      </c>
      <c r="BG17" s="581">
        <f>IF(17=17,IF($U17="","",SUMPRODUCT(--ISNUMBER(SEARCH(" "&amp;$CR$1456:$CR$1555&amp;" ",$BJ17)))),"")</f>
        <v>0</v>
      </c>
      <c r="BH17" s="581">
        <f>IF(17=17,IF($U17="","",SUMPRODUCT(--ISNUMBER(SEARCH(" "&amp;$CR$1556:$CR$1655&amp;" ",$BJ17)))),"")</f>
        <v>0</v>
      </c>
      <c r="BI17" s="581">
        <f>IF(17=17,IF($U17="","",SUMPRODUCT(--ISNUMBER(SEARCH(" "&amp;$CR$1656:$CR$1739&amp;" ",$BJ17)))),"")</f>
        <v>0</v>
      </c>
      <c r="BJ17" s="581"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en des surgelees </v>
      </c>
      <c r="BK17" s="581">
        <f>IF(17=17,IF($U17="","",SUMPRODUCT(--ISNUMBER(SEARCH(" "&amp;$CR$1790:$CR$1869&amp;" ",$BL17)))+SUMPRODUCT(--ISNUMBER(SEARCH(" "&amp;$CR$2440:$CR$2453&amp;" ",$BL17)))),"")</f>
        <v>0</v>
      </c>
      <c r="BL17" s="581"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carottes en des surgelees </v>
      </c>
      <c r="BM17" s="581" t="str">
        <f>IF(17=17,IF($U17="","",IF(SUM(BG17:BI17)+SUMPRODUCT(--ISNUMBER(SEARCH(" "&amp;$CR$2423:$CR$2424&amp;" ",$BJ17)))&gt;0,"X",IF(BK17&gt;0,"?",""))),"")</f>
        <v/>
      </c>
      <c r="BN17" s="581">
        <f>IF(17=17,IF($U17="","",SUMPRODUCT(--ISNUMBER(SEARCH(" "&amp;$CR$1879:$CR$1936&amp;" ",$BO17)))),"")</f>
        <v>0</v>
      </c>
      <c r="BO17" s="581"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en des surgelees </v>
      </c>
      <c r="BP17" s="581">
        <f>IF(17=17,IF($U17="","",SUMPRODUCT(--ISNUMBER(SEARCH(" "&amp;$CR$1960:$CR$1976&amp;" ",$BO17)))),"")</f>
        <v>0</v>
      </c>
      <c r="BQ17" s="581" t="str">
        <f>IF(17=17,IF($U17="","",IF(BN17&gt;0,"X",IF(BP17&gt;0,"?",""))),"")</f>
        <v/>
      </c>
      <c r="BR17" s="581">
        <f>IF(17=17,IF($U17="","",SUMPRODUCT(--ISNUMBER(SEARCH(" "&amp;$CR$1977:$CR$1990&amp;" ",$AA17)))),"")</f>
        <v>0</v>
      </c>
      <c r="BS17" s="581">
        <f>IF(17=17,IF($U17="","",SUMPRODUCT(--ISNUMBER(SEARCH(" "&amp;$CR$1991:$CR$2005&amp;" ",$AA17)))),"")</f>
        <v>0</v>
      </c>
      <c r="BT17" s="581" t="str">
        <f>IF(17=17,IF($U17="","",IF((BR17)-(0)&gt;0,"X",IF((BS17)-(0)&gt;0,"?",""))),"")</f>
        <v/>
      </c>
      <c r="BU17" s="581">
        <f>IF(17=17,IF($U17="","",SUMPRODUCT(--ISNUMBER(SEARCH(" "&amp;$CR$2006:$CR$2023&amp;" ",$AA17)))),"")</f>
        <v>0</v>
      </c>
      <c r="BV17" s="581">
        <f>IF(17=17,IF($U17="","",SUMPRODUCT(--ISNUMBER(SEARCH(" "&amp;$CR$2024:$CR$2038&amp;" ",$AA17)))),"")</f>
        <v>0</v>
      </c>
      <c r="BW17" s="581" t="str">
        <f>IF(17=17,IF($U17="","",IF((BU17)-(0)&gt;0,"X",IF((BV17)-(0)&gt;0,"?",""))),"")</f>
        <v/>
      </c>
      <c r="BX17" s="581">
        <f>IF(17=17,IF($U17="","",SUMPRODUCT(--ISNUMBER(SEARCH(" "&amp;$CR$2039:$CR$2057&amp;" ",$AA17)))),"")</f>
        <v>0</v>
      </c>
      <c r="BY17" s="581">
        <f>IF(17=17,IF($U17="","",SUMPRODUCT(--ISNUMBER(SEARCH(" "&amp;$CR$2058:$CR$2072&amp;" ",$AA17)))),"")</f>
        <v>0</v>
      </c>
      <c r="BZ17" s="581" t="str">
        <f>IF(17=17,IF($U17="","",IF((BX17)-(0)&gt;0,"X",IF((BY17)-(0)&gt;0,"?",""))),"")</f>
        <v/>
      </c>
      <c r="CA17" s="581">
        <f>IF(17=17,IF($U17="","",SUMPRODUCT(--ISNUMBER(SEARCH(" "&amp;$CR$2073:$CR$2093&amp;" ",$AA17)))),"")</f>
        <v>0</v>
      </c>
      <c r="CB17" s="581">
        <f>IF(17=17,IF($U17="","",SUMPRODUCT(--ISNUMBER(SEARCH(" "&amp;$CR$2094:$CR$2133&amp;" ",SUBSTITUTE(SUBSTITUTE($AA17," "&amp;$CR$1367&amp;" "," ")," "&amp;$CR$1366&amp;" "," "))))+--ISNUMBER(SEARCH("poiré",$V17))),"")</f>
        <v>0</v>
      </c>
      <c r="CC17" s="581" t="str">
        <f>IF(17=17,IF($U17="","",IF(OR(CA17&gt;0,ISNUMBER(SEARCH(" vinaigre de vin ",$AA17)),ISNUMBER(SEARCH(" vinaigre au vin ",$AA17))),"X",IF(CB17&gt;0,"?",""))),"")</f>
        <v/>
      </c>
      <c r="CD17" s="581">
        <f>IF(17=17,IF($U17="","",SUMPRODUCT(--ISNUMBER(SEARCH(" "&amp;$CR$2134:$CR$2146&amp;" ",$AA17)))),"")</f>
        <v>0</v>
      </c>
      <c r="CE17" s="581">
        <f>IF(17=17,IF($U17="","",SUMPRODUCT(--ISNUMBER(SEARCH(" "&amp;$CR$2147:$CR$2152&amp;" ",$AA17)))),"")</f>
        <v>0</v>
      </c>
      <c r="CF17" s="581" t="str">
        <f>IF(17=17,IF($U17="","",IF((CD17)-(0)&gt;0,"X",IF((CE17)-(0)&gt;0,"?",""))),"")</f>
        <v/>
      </c>
      <c r="CG17" s="581">
        <f>IF(17=17,IF($U17="","",SUMPRODUCT(--ISNUMBER(SEARCH(" "&amp;$CR$2153:$CR$2252&amp;" ",$CJ17)))),"")</f>
        <v>0</v>
      </c>
      <c r="CH17" s="581">
        <f>IF(17=17,IF($U17="","",SUMPRODUCT(--ISNUMBER(SEARCH(" "&amp;$CR$2253:$CR$2352&amp;" ",$CJ17)))),"")</f>
        <v>0</v>
      </c>
      <c r="CI17" s="581">
        <f>IF(17=17,IF($U17="","",SUMPRODUCT(--ISNUMBER(SEARCH(" "&amp;$CR$2353:$CR$2395&amp;" ",$CJ17)))),"")</f>
        <v>0</v>
      </c>
      <c r="CJ17" s="581"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carottes en des surgelees </v>
      </c>
      <c r="CK17" s="581">
        <f>IF(17=17,IF($U17="","",SUMPRODUCT(--ISNUMBER(SEARCH(" "&amp;$CR$2412:$CR$2416&amp;" ",$CJ17)))),"")</f>
        <v>0</v>
      </c>
      <c r="CL17" s="581" t="str">
        <f>IF(17=17,IF($U17="","",IF(SUM(CG17:CI17)&gt;0,"X",IF(CK17&gt;0,"?",""))),"")</f>
        <v/>
      </c>
      <c r="CM17" s="582"/>
      <c r="CN17" s="584" t="s">
        <v>2016</v>
      </c>
      <c r="CO17" s="584" t="s">
        <v>1887</v>
      </c>
      <c r="CP17" s="584" t="s">
        <v>1888</v>
      </c>
      <c r="CQ17" s="584" t="s">
        <v>2017</v>
      </c>
      <c r="CR17" s="584" t="s">
        <v>2017</v>
      </c>
      <c r="CS17" s="584" t="s">
        <v>1978</v>
      </c>
      <c r="CT17" s="584" t="s">
        <v>1979</v>
      </c>
      <c r="CU17" s="584" t="s">
        <v>1892</v>
      </c>
      <c r="CV17" s="585" t="s">
        <v>1980</v>
      </c>
    </row>
    <row r="18" spans="1:100" ht="21.95" customHeight="1" x14ac:dyDescent="0.25">
      <c r="A18" s="597">
        <v>12</v>
      </c>
      <c r="B18" s="598" t="s">
        <v>2018</v>
      </c>
      <c r="C18" s="599" t="str">
        <f t="shared" si="0"/>
        <v>Marrons surgelés</v>
      </c>
      <c r="D18" s="600"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601" t="str">
        <f>IF(18=18,IF($B18="","",AF18),"")</f>
        <v/>
      </c>
      <c r="F18" s="601" t="str">
        <f>IF(18=18,IF($B18="","",AI18),"")</f>
        <v/>
      </c>
      <c r="G18" s="601" t="str">
        <f>IF(18=18,IF($B18="","",AM18),"")</f>
        <v/>
      </c>
      <c r="H18" s="601" t="str">
        <f>IF(18=18,IF($B18="","",AZ18),"")</f>
        <v/>
      </c>
      <c r="I18" s="601" t="str">
        <f>IF(18=18,IF($B18="","",BB18),"")</f>
        <v/>
      </c>
      <c r="J18" s="601" t="str">
        <f>IF(18=18,IF($B18="","",BF18),"")</f>
        <v/>
      </c>
      <c r="K18" s="601" t="str">
        <f>IF(18=18,IF($B18="","",BM18),"")</f>
        <v/>
      </c>
      <c r="L18" s="601" t="str">
        <f>IF(18=18,IF($B18="","",BQ18),"")</f>
        <v/>
      </c>
      <c r="M18" s="601" t="str">
        <f>IF(18=18,IF($B18="","",BT18),"")</f>
        <v/>
      </c>
      <c r="N18" s="601" t="str">
        <f>IF(18=18,IF($B18="","",BW18),"")</f>
        <v/>
      </c>
      <c r="O18" s="601" t="str">
        <f>IF(18=18,IF($B18="","",BZ18),"")</f>
        <v/>
      </c>
      <c r="P18" s="601" t="str">
        <f>IF(18=18,IF($B18="","",CC18),"")</f>
        <v/>
      </c>
      <c r="Q18" s="601" t="str">
        <f>IF(18=18,IF($B18="","",CF18),"")</f>
        <v/>
      </c>
      <c r="R18" s="601" t="str">
        <f>IF(18=18,IF($B18="","",CL18),"")</f>
        <v/>
      </c>
      <c r="S18" s="602"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581" t="str">
        <f>IF(18=18,IF($B18="","",$B18),"")</f>
        <v>Marrons surgelés</v>
      </c>
      <c r="V18" s="581" t="str">
        <f>IF(18=18,LOWER(CLEAN(SUBSTITUTE(SUBSTITUTE(SUBSTITUTE(SUBSTITUTE($U18,CHAR(160)," ")," "," "),CHAR(10)," "),CHAR(13)," "))),"")</f>
        <v>marrons surgelés</v>
      </c>
      <c r="W18" s="581" t="str">
        <f>IF(18=18,SUBSTITUTE(SUBSTITUTE(SUBSTITUTE(SUBSTITUTE(SUBSTITUTE(SUBSTITUTE(SUBSTITUTE(SUBSTITUTE(SUBSTITUTE(SUBSTITUTE(SUBSTITUTE(SUBSTITUTE($V18,"œ","oe"),"æ","ae"),"à","a"),"á","a"),"â","a"),"ä","a"),"ã","a"),"ç","c"),"è","e"),"é","e"),"ê","e"),"ë","e"),"")</f>
        <v>marrons surgeles</v>
      </c>
      <c r="X18" s="581" t="str">
        <f>IF(18=18,SUBSTITUTE(SUBSTITUTE(SUBSTITUTE(SUBSTITUTE(SUBSTITUTE(SUBSTITUTE(SUBSTITUTE(SUBSTITUTE(SUBSTITUTE(SUBSTITUTE(SUBSTITUTE(SUBSTITUTE(SUBSTITUTE(SUBSTITUTE(SUBSTITUTE(SUBSTITUTE($W18,"ì","i"),"í","i"),"î","i"),"ï","i"),"ñ","n"),"ò","o"),"ó","o"),"ô","o"),"ö","o"),"õ","o"),"ù","u"),"ú","u"),"û","u"),"ü","u"),"ý","y"),"ÿ","y"),"")</f>
        <v>marrons surgeles</v>
      </c>
      <c r="Y18" s="581" t="str">
        <f>IF(18=18,SUBSTITUTE(SUBSTITUTE(SUBSTITUTE(SUBSTITUTE(SUBSTITUTE(SUBSTITUTE(SUBSTITUTE(SUBSTITUTE(SUBSTITUTE(SUBSTITUTE(SUBSTITUTE(SUBSTITUTE(SUBSTITUTE(SUBSTITUTE($X18,"’"," "),"`"," "),"–"," "),"—"," "),"-"," "),"'"," "),"/"," "),"_"," "),","," "),"."," "),"("," "),")"," "),";"," "),":"," "),"")</f>
        <v>marrons surgeles</v>
      </c>
      <c r="Z18" s="581" t="str">
        <f>IF(18=18,SUBSTITUTE(SUBSTITUTE(SUBSTITUTE(SUBSTITUTE(SUBSTITUTE(SUBSTITUTE(SUBSTITUTE(SUBSTITUTE(SUBSTITUTE(SUBSTITUTE(SUBSTITUTE(SUBSTITUTE(SUBSTITUTE(SUBSTITUTE(SUBSTITUTE($Y18,"!"," "),"?"," "),"+"," "),"*"," "),"&amp;"," "),"["," "),"]"," "),"{"," "),"}"," "),"%"," "),"="," "),"\"," "),"|"," "),"&lt;"," "),"&gt;"," "),"")</f>
        <v>marrons surgeles</v>
      </c>
      <c r="AA18" s="581" t="str">
        <f>IF(18=18," "&amp;TRIM(SUBSTITUTE(SUBSTITUTE(SUBSTITUTE(SUBSTITUTE(SUBSTITUTE(SUBSTITUTE($Z18,CHAR(34)," "),"  "," "),"  "," "),"  "," "),"  "," "),"  "," "))&amp;" ","")</f>
        <v xml:space="preserve"> marrons surgeles </v>
      </c>
      <c r="AB18" s="581">
        <f>IF(18=18,IF($U18="","",SUMPRODUCT(--ISNUMBER(SEARCH(" "&amp;$CR$2:$CR$101&amp;" ",$AD18)))),"")</f>
        <v>0</v>
      </c>
      <c r="AC18" s="581">
        <f>IF(18=18,IF($U18="","",SUMPRODUCT(--ISNUMBER(SEARCH(" "&amp;$CR$102:$CR$151&amp;" ",$AD18)))),"")</f>
        <v>0</v>
      </c>
      <c r="AD18" s="581" t="e">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8" s="581">
        <f>IF(18=18,IF($U18="","",SUMPRODUCT(--ISNUMBER(SEARCH(" "&amp;$CR$184:$CR$205&amp;" ",$AD18)))),"")</f>
        <v>0</v>
      </c>
      <c r="AF18" s="581" t="str">
        <f>IF(18=18,IF($U18="","",IF(SUM(AB18:AC18)+SUMPRODUCT(--ISNUMBER(SEARCH(" "&amp;$CR$2418:$CR$2420&amp;" ",$AD18)))&gt;0,"X",IF(AE18&gt;0,"?",""))),"")</f>
        <v/>
      </c>
      <c r="AG18" s="581">
        <f>IF(18=18,IF($U18="","",SUMPRODUCT(--ISNUMBER(SEARCH(" "&amp;$CR$206:$CR$305&amp;" ",$AA18)))),"")</f>
        <v>0</v>
      </c>
      <c r="AH18" s="581">
        <f>IF(18=18,IF($U18="","",SUMPRODUCT(--ISNUMBER(SEARCH(" "&amp;$CR$306:$CR$340&amp;" ",$AA18)))),"")</f>
        <v>0</v>
      </c>
      <c r="AI18" s="581" t="str">
        <f>IF(18=18,IF($U18="","",IF((SUM(AG18:AH18))-(0)&gt;0,"X",IF((0)-(0)&gt;0,"?",""))),"")</f>
        <v/>
      </c>
      <c r="AJ18" s="581">
        <f>IF(18=18,IF($U18="","",SUMPRODUCT(--ISNUMBER(SEARCH(" "&amp;$CR$341:$CR$398&amp;" ",$AA18)))),"")</f>
        <v>0</v>
      </c>
      <c r="AK18" s="581">
        <f>IF(18=18,IF($U18="","",SUMPRODUCT(--ISNUMBER(SEARCH(" "&amp;$CR$399:$CR$426&amp;" ",$AL18)))+SUMPRODUCT(--ISNUMBER(SEARCH(" "&amp;$CR$2440:$CR$2453&amp;" ",$AL18)))),"")</f>
        <v>0</v>
      </c>
      <c r="AL18" s="581" t="str">
        <f>IF(18=18,IF($U18="","",SUBSTITUTE(SUBSTITUTE(SUBSTITUTE(SUBSTITUTE(SUBSTITUTE(SUBSTITUTE(SUBSTITUTE(SUBSTITUTE(SUBSTITUTE(SUBSTITUTE(SUBSTITUTE(SUBSTITUTE(SUBSTITUTE($AA18," "&amp;$CR$433&amp;" "," ")," "&amp;$CR$431&amp;" "," ")," "&amp;$CR$2438&amp;" "," ")," "&amp;$CR$2439&amp;" "," ")," "&amp;$CR$428&amp;" "," ")," "&amp;$CR$432&amp;" "," ")," "&amp;$CR$434&amp;" "," ")," "&amp;$CR$429&amp;" "," ")," "&amp;$CR$427&amp;" "," ")," "&amp;$CR$1367&amp;" "," ")," "&amp;$CR$435&amp;" "," ")," "&amp;$CR$1366&amp;" "," ")," "&amp;$CR$430&amp;" "," ")),"")</f>
        <v xml:space="preserve"> marrons surgeles </v>
      </c>
      <c r="AM18" s="581" t="str">
        <f>IF(18=18,IF($U18="","",IF(AJ18&gt;0,"X",IF(AK18&gt;0,"?",""))),"")</f>
        <v/>
      </c>
      <c r="AN18" s="581">
        <f>IF(18=18,IF($U18="","",SUMPRODUCT(--ISNUMBER(SEARCH(" "&amp;$CR$436:$CR$535&amp;" ",$AX18)))),"")</f>
        <v>0</v>
      </c>
      <c r="AO18" s="581">
        <f>IF(18=18,IF($U18="","",SUMPRODUCT(--ISNUMBER(SEARCH(" "&amp;$CR$536:$CR$635&amp;" ",$AX18)))),"")</f>
        <v>0</v>
      </c>
      <c r="AP18" s="581">
        <f>IF(18=18,IF($U18="","",SUMPRODUCT(--ISNUMBER(SEARCH(" "&amp;$CR$636:$CR$735&amp;" ",$AX18)))),"")</f>
        <v>0</v>
      </c>
      <c r="AQ18" s="581">
        <f>IF(18=18,IF($U18="","",SUMPRODUCT(--ISNUMBER(SEARCH(" "&amp;$CR$736:$CR$835&amp;" ",$AX18)))),"")</f>
        <v>0</v>
      </c>
      <c r="AR18" s="581">
        <f>IF(18=18,IF($U18="","",SUMPRODUCT(--ISNUMBER(SEARCH(" "&amp;$CR$836:$CR$935&amp;" ",$AX18)))),"")</f>
        <v>0</v>
      </c>
      <c r="AS18" s="581">
        <f>IF(18=18,IF($U18="","",SUMPRODUCT(--ISNUMBER(SEARCH(" "&amp;$CR$936:$CR$1035&amp;" ",$AX18)))),"")</f>
        <v>0</v>
      </c>
      <c r="AT18" s="581">
        <f>IF(18=18,IF($U18="","",SUMPRODUCT(--ISNUMBER(SEARCH(" "&amp;$CR$1036:$CR$1135&amp;" ",$AX18)))),"")</f>
        <v>0</v>
      </c>
      <c r="AU18" s="581">
        <f>IF(18=18,IF($U18="","",SUMPRODUCT(--ISNUMBER(SEARCH(" "&amp;$CR$1136:$CR$1235&amp;" ",$AX18)))),"")</f>
        <v>0</v>
      </c>
      <c r="AV18" s="581">
        <f>IF(18=18,IF($U18="","",SUMPRODUCT(--ISNUMBER(SEARCH(" "&amp;$CR$1236:$CR$1335&amp;" ",$AX18)))),"")</f>
        <v>0</v>
      </c>
      <c r="AW18" s="581">
        <f>IF(18=18,IF($U18="","",SUMPRODUCT(--ISNUMBER(SEARCH(" "&amp;$CR$1336:$CR$1363&amp;" ",$AX18)))),"")</f>
        <v>0</v>
      </c>
      <c r="AX18" s="581" t="str">
        <f>IF(18=18,IF($U18="","",SUBSTITUTE(SUBSTITUTE(SUBSTITUTE(SUBSTITUTE(SUBSTITUTE(SUBSTITUTE(SUBSTITUTE(SUBSTITUTE(SUBSTITUTE($AA18," "&amp;$CR$1365&amp;" "," ")," "&amp;$CR$1364&amp;" "," ")," "&amp;$CR$1370&amp;" "," ")," "&amp;$CR$1371&amp;" "," ")," "&amp;$CR$1367&amp;" "," ")," "&amp;$CR$1369&amp;" "," ")," "&amp;$CR$1366&amp;" "," ")," "&amp;$CR$1368&amp;" "," ")," "&amp;$CR$1372&amp;" "," ")),"")</f>
        <v xml:space="preserve"> marrons surgeles </v>
      </c>
      <c r="AY18" s="581">
        <f>IF(18=18,IF($U18="","",SUMPRODUCT(--ISNUMBER(SEARCH(" "&amp;$CR$1373:$CR$1383&amp;" ",$AX18)))),"")</f>
        <v>0</v>
      </c>
      <c r="AZ18" s="581" t="str">
        <f>IF(18=18,IF($U18="","",IF(SUM(AN18:AW18)+SUMPRODUCT(--ISNUMBER(SEARCH(" "&amp;$CR$2421:$CR$2422&amp;" ",$AX18)))&gt;0,"X",IF(AY18&gt;0,"?",""))),"")</f>
        <v/>
      </c>
      <c r="BA18" s="581">
        <f>IF(18=18,IF($U18="","",SUMPRODUCT(--ISNUMBER(SEARCH(" "&amp;$CR$1384:$CR$1404&amp;" ",$AA18)))),"")</f>
        <v>0</v>
      </c>
      <c r="BB18" s="581" t="str">
        <f>IF(18=18,IF($U18="","",IF((BA18)-(0)&gt;0,"X",IF((0)-(0)&gt;0,"?",""))),"")</f>
        <v/>
      </c>
      <c r="BC18" s="581">
        <f>IF(18=18,IF($U18="","",SUMPRODUCT(--ISNUMBER(SEARCH(" "&amp;$CR$1405:$CR$1442&amp;" ",$BD18)))),"")</f>
        <v>0</v>
      </c>
      <c r="BD18" s="581" t="str">
        <f>IF(18=18,IF($U18="","",SUBSTITUTE(SUBSTITUTE($AA18," "&amp;$CR$1443&amp;" "," ")," "&amp;$CR$1444&amp;" "," ")),"")</f>
        <v xml:space="preserve"> marrons surgeles </v>
      </c>
      <c r="BE18" s="581">
        <f>IF(18=18,IF($U18="","",SUMPRODUCT(--ISNUMBER(SEARCH(" "&amp;$CR$1445:$CR$1455&amp;" ",$BD18)))),"")</f>
        <v>0</v>
      </c>
      <c r="BF18" s="581" t="str">
        <f>IF(18=18,IF($U18="","",IF(BC18&gt;0,"X",IF(BE18&gt;0,"?",""))),"")</f>
        <v/>
      </c>
      <c r="BG18" s="581">
        <f>IF(18=18,IF($U18="","",SUMPRODUCT(--ISNUMBER(SEARCH(" "&amp;$CR$1456:$CR$1555&amp;" ",$BJ18)))),"")</f>
        <v>0</v>
      </c>
      <c r="BH18" s="581">
        <f>IF(18=18,IF($U18="","",SUMPRODUCT(--ISNUMBER(SEARCH(" "&amp;$CR$1556:$CR$1655&amp;" ",$BJ18)))),"")</f>
        <v>0</v>
      </c>
      <c r="BI18" s="581">
        <f>IF(18=18,IF($U18="","",SUMPRODUCT(--ISNUMBER(SEARCH(" "&amp;$CR$1656:$CR$1739&amp;" ",$BJ18)))),"")</f>
        <v>0</v>
      </c>
      <c r="BJ18" s="581"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marrons surgeles </v>
      </c>
      <c r="BK18" s="581">
        <f>IF(18=18,IF($U18="","",SUMPRODUCT(--ISNUMBER(SEARCH(" "&amp;$CR$1790:$CR$1869&amp;" ",$BL18)))+SUMPRODUCT(--ISNUMBER(SEARCH(" "&amp;$CR$2440:$CR$2453&amp;" ",$BL18)))),"")</f>
        <v>0</v>
      </c>
      <c r="BL18" s="581"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marrons surgeles </v>
      </c>
      <c r="BM18" s="581" t="str">
        <f>IF(18=18,IF($U18="","",IF(SUM(BG18:BI18)+SUMPRODUCT(--ISNUMBER(SEARCH(" "&amp;$CR$2423:$CR$2424&amp;" ",$BJ18)))&gt;0,"X",IF(BK18&gt;0,"?",""))),"")</f>
        <v/>
      </c>
      <c r="BN18" s="581">
        <f>IF(18=18,IF($U18="","",SUMPRODUCT(--ISNUMBER(SEARCH(" "&amp;$CR$1879:$CR$1936&amp;" ",$BO18)))),"")</f>
        <v>0</v>
      </c>
      <c r="BO18" s="581"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surgeles </v>
      </c>
      <c r="BP18" s="581">
        <f>IF(18=18,IF($U18="","",SUMPRODUCT(--ISNUMBER(SEARCH(" "&amp;$CR$1960:$CR$1976&amp;" ",$BO18)))),"")</f>
        <v>0</v>
      </c>
      <c r="BQ18" s="581" t="str">
        <f>IF(18=18,IF($U18="","",IF(BN18&gt;0,"X",IF(BP18&gt;0,"?",""))),"")</f>
        <v/>
      </c>
      <c r="BR18" s="581">
        <f>IF(18=18,IF($U18="","",SUMPRODUCT(--ISNUMBER(SEARCH(" "&amp;$CR$1977:$CR$1990&amp;" ",$AA18)))),"")</f>
        <v>0</v>
      </c>
      <c r="BS18" s="581">
        <f>IF(18=18,IF($U18="","",SUMPRODUCT(--ISNUMBER(SEARCH(" "&amp;$CR$1991:$CR$2005&amp;" ",$AA18)))),"")</f>
        <v>0</v>
      </c>
      <c r="BT18" s="581" t="str">
        <f>IF(18=18,IF($U18="","",IF((BR18)-(0)&gt;0,"X",IF((BS18)-(0)&gt;0,"?",""))),"")</f>
        <v/>
      </c>
      <c r="BU18" s="581">
        <f>IF(18=18,IF($U18="","",SUMPRODUCT(--ISNUMBER(SEARCH(" "&amp;$CR$2006:$CR$2023&amp;" ",$AA18)))),"")</f>
        <v>0</v>
      </c>
      <c r="BV18" s="581">
        <f>IF(18=18,IF($U18="","",SUMPRODUCT(--ISNUMBER(SEARCH(" "&amp;$CR$2024:$CR$2038&amp;" ",$AA18)))),"")</f>
        <v>0</v>
      </c>
      <c r="BW18" s="581" t="str">
        <f>IF(18=18,IF($U18="","",IF((BU18)-(0)&gt;0,"X",IF((BV18)-(0)&gt;0,"?",""))),"")</f>
        <v/>
      </c>
      <c r="BX18" s="581">
        <f>IF(18=18,IF($U18="","",SUMPRODUCT(--ISNUMBER(SEARCH(" "&amp;$CR$2039:$CR$2057&amp;" ",$AA18)))),"")</f>
        <v>0</v>
      </c>
      <c r="BY18" s="581">
        <f>IF(18=18,IF($U18="","",SUMPRODUCT(--ISNUMBER(SEARCH(" "&amp;$CR$2058:$CR$2072&amp;" ",$AA18)))),"")</f>
        <v>0</v>
      </c>
      <c r="BZ18" s="581" t="str">
        <f>IF(18=18,IF($U18="","",IF((BX18)-(0)&gt;0,"X",IF((BY18)-(0)&gt;0,"?",""))),"")</f>
        <v/>
      </c>
      <c r="CA18" s="581">
        <f>IF(18=18,IF($U18="","",SUMPRODUCT(--ISNUMBER(SEARCH(" "&amp;$CR$2073:$CR$2093&amp;" ",$AA18)))),"")</f>
        <v>0</v>
      </c>
      <c r="CB18" s="581">
        <f>IF(18=18,IF($U18="","",SUMPRODUCT(--ISNUMBER(SEARCH(" "&amp;$CR$2094:$CR$2133&amp;" ",SUBSTITUTE(SUBSTITUTE($AA18," "&amp;$CR$1367&amp;" "," ")," "&amp;$CR$1366&amp;" "," "))))+--ISNUMBER(SEARCH("poiré",$V18))),"")</f>
        <v>0</v>
      </c>
      <c r="CC18" s="581" t="str">
        <f>IF(18=18,IF($U18="","",IF(OR(CA18&gt;0,ISNUMBER(SEARCH(" vinaigre de vin ",$AA18)),ISNUMBER(SEARCH(" vinaigre au vin ",$AA18))),"X",IF(CB18&gt;0,"?",""))),"")</f>
        <v/>
      </c>
      <c r="CD18" s="581">
        <f>IF(18=18,IF($U18="","",SUMPRODUCT(--ISNUMBER(SEARCH(" "&amp;$CR$2134:$CR$2146&amp;" ",$AA18)))),"")</f>
        <v>0</v>
      </c>
      <c r="CE18" s="581">
        <f>IF(18=18,IF($U18="","",SUMPRODUCT(--ISNUMBER(SEARCH(" "&amp;$CR$2147:$CR$2152&amp;" ",$AA18)))),"")</f>
        <v>0</v>
      </c>
      <c r="CF18" s="581" t="str">
        <f>IF(18=18,IF($U18="","",IF((CD18)-(0)&gt;0,"X",IF((CE18)-(0)&gt;0,"?",""))),"")</f>
        <v/>
      </c>
      <c r="CG18" s="581">
        <f>IF(18=18,IF($U18="","",SUMPRODUCT(--ISNUMBER(SEARCH(" "&amp;$CR$2153:$CR$2252&amp;" ",$CJ18)))),"")</f>
        <v>0</v>
      </c>
      <c r="CH18" s="581">
        <f>IF(18=18,IF($U18="","",SUMPRODUCT(--ISNUMBER(SEARCH(" "&amp;$CR$2253:$CR$2352&amp;" ",$CJ18)))),"")</f>
        <v>0</v>
      </c>
      <c r="CI18" s="581">
        <f>IF(18=18,IF($U18="","",SUMPRODUCT(--ISNUMBER(SEARCH(" "&amp;$CR$2353:$CR$2395&amp;" ",$CJ18)))),"")</f>
        <v>0</v>
      </c>
      <c r="CJ18" s="581"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marrons surgeles </v>
      </c>
      <c r="CK18" s="581">
        <f>IF(18=18,IF($U18="","",SUMPRODUCT(--ISNUMBER(SEARCH(" "&amp;$CR$2412:$CR$2416&amp;" ",$CJ18)))),"")</f>
        <v>0</v>
      </c>
      <c r="CL18" s="581" t="str">
        <f>IF(18=18,IF($U18="","",IF(SUM(CG18:CI18)&gt;0,"X",IF(CK18&gt;0,"?",""))),"")</f>
        <v/>
      </c>
      <c r="CM18" s="582"/>
      <c r="CN18" s="584" t="s">
        <v>2019</v>
      </c>
      <c r="CO18" s="584" t="s">
        <v>1887</v>
      </c>
      <c r="CP18" s="584" t="s">
        <v>1888</v>
      </c>
      <c r="CQ18" s="584" t="s">
        <v>2020</v>
      </c>
      <c r="CR18" s="584" t="s">
        <v>2020</v>
      </c>
      <c r="CS18" s="584" t="s">
        <v>1978</v>
      </c>
      <c r="CT18" s="584" t="s">
        <v>1979</v>
      </c>
      <c r="CU18" s="584" t="s">
        <v>1892</v>
      </c>
      <c r="CV18" s="585" t="s">
        <v>1980</v>
      </c>
    </row>
    <row r="19" spans="1:100" ht="21.95" customHeight="1" x14ac:dyDescent="0.25">
      <c r="A19" s="597">
        <v>13</v>
      </c>
      <c r="B19" s="598" t="s">
        <v>2021</v>
      </c>
      <c r="C19" s="599" t="str">
        <f t="shared" si="0"/>
        <v>Fond brun de veau lié ?</v>
      </c>
      <c r="D19" s="600"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
      </c>
      <c r="E19" s="601" t="str">
        <f>IF(19=19,IF($B19="","",AF19),"")</f>
        <v/>
      </c>
      <c r="F19" s="601" t="str">
        <f>IF(19=19,IF($B19="","",AI19),"")</f>
        <v/>
      </c>
      <c r="G19" s="601" t="str">
        <f>IF(19=19,IF($B19="","",AM19),"")</f>
        <v/>
      </c>
      <c r="H19" s="601" t="str">
        <f>IF(19=19,IF($B19="","",AZ19),"")</f>
        <v/>
      </c>
      <c r="I19" s="601" t="str">
        <f>IF(19=19,IF($B19="","",BB19),"")</f>
        <v/>
      </c>
      <c r="J19" s="601" t="str">
        <f>IF(19=19,IF($B19="","",BF19),"")</f>
        <v/>
      </c>
      <c r="K19" s="601" t="str">
        <f>IF(19=19,IF($B19="","",BM19),"")</f>
        <v/>
      </c>
      <c r="L19" s="601" t="str">
        <f>IF(19=19,IF($B19="","",BQ19),"")</f>
        <v/>
      </c>
      <c r="M19" s="601" t="str">
        <f>IF(19=19,IF($B19="","",BT19),"")</f>
        <v>?</v>
      </c>
      <c r="N19" s="601" t="str">
        <f>IF(19=19,IF($B19="","",BW19),"")</f>
        <v/>
      </c>
      <c r="O19" s="601" t="str">
        <f>IF(19=19,IF($B19="","",BZ19),"")</f>
        <v/>
      </c>
      <c r="P19" s="601" t="str">
        <f>IF(19=19,IF($B19="","",CC19),"")</f>
        <v/>
      </c>
      <c r="Q19" s="601" t="str">
        <f>IF(19=19,IF($B19="","",CF19),"")</f>
        <v/>
      </c>
      <c r="R19" s="601" t="str">
        <f>IF(19=19,IF($B19="","",CL19),"")</f>
        <v/>
      </c>
      <c r="S19" s="602"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Céleri</v>
      </c>
      <c r="U19" s="581" t="str">
        <f>IF(19=19,IF($B19="","",$B19),"")</f>
        <v>Fond brun de veau lié</v>
      </c>
      <c r="V19" s="581" t="str">
        <f>IF(19=19,LOWER(CLEAN(SUBSTITUTE(SUBSTITUTE(SUBSTITUTE(SUBSTITUTE($U19,CHAR(160)," ")," "," "),CHAR(10)," "),CHAR(13)," "))),"")</f>
        <v>fond brun de veau lié</v>
      </c>
      <c r="W19" s="581" t="str">
        <f>IF(19=19,SUBSTITUTE(SUBSTITUTE(SUBSTITUTE(SUBSTITUTE(SUBSTITUTE(SUBSTITUTE(SUBSTITUTE(SUBSTITUTE(SUBSTITUTE(SUBSTITUTE(SUBSTITUTE(SUBSTITUTE($V19,"œ","oe"),"æ","ae"),"à","a"),"á","a"),"â","a"),"ä","a"),"ã","a"),"ç","c"),"è","e"),"é","e"),"ê","e"),"ë","e"),"")</f>
        <v>fond brun de veau lie</v>
      </c>
      <c r="X19" s="581" t="str">
        <f>IF(19=19,SUBSTITUTE(SUBSTITUTE(SUBSTITUTE(SUBSTITUTE(SUBSTITUTE(SUBSTITUTE(SUBSTITUTE(SUBSTITUTE(SUBSTITUTE(SUBSTITUTE(SUBSTITUTE(SUBSTITUTE(SUBSTITUTE(SUBSTITUTE(SUBSTITUTE(SUBSTITUTE($W19,"ì","i"),"í","i"),"î","i"),"ï","i"),"ñ","n"),"ò","o"),"ó","o"),"ô","o"),"ö","o"),"õ","o"),"ù","u"),"ú","u"),"û","u"),"ü","u"),"ý","y"),"ÿ","y"),"")</f>
        <v>fond brun de veau lie</v>
      </c>
      <c r="Y19" s="581" t="str">
        <f>IF(19=19,SUBSTITUTE(SUBSTITUTE(SUBSTITUTE(SUBSTITUTE(SUBSTITUTE(SUBSTITUTE(SUBSTITUTE(SUBSTITUTE(SUBSTITUTE(SUBSTITUTE(SUBSTITUTE(SUBSTITUTE(SUBSTITUTE(SUBSTITUTE($X19,"’"," "),"`"," "),"–"," "),"—"," "),"-"," "),"'"," "),"/"," "),"_"," "),","," "),"."," "),"("," "),")"," "),";"," "),":"," "),"")</f>
        <v>fond brun de veau lie</v>
      </c>
      <c r="Z19" s="581" t="str">
        <f>IF(19=19,SUBSTITUTE(SUBSTITUTE(SUBSTITUTE(SUBSTITUTE(SUBSTITUTE(SUBSTITUTE(SUBSTITUTE(SUBSTITUTE(SUBSTITUTE(SUBSTITUTE(SUBSTITUTE(SUBSTITUTE(SUBSTITUTE(SUBSTITUTE(SUBSTITUTE($Y19,"!"," "),"?"," "),"+"," "),"*"," "),"&amp;"," "),"["," "),"]"," "),"{"," "),"}"," "),"%"," "),"="," "),"\"," "),"|"," "),"&lt;"," "),"&gt;"," "),"")</f>
        <v>fond brun de veau lie</v>
      </c>
      <c r="AA19" s="581" t="str">
        <f>IF(19=19," "&amp;TRIM(SUBSTITUTE(SUBSTITUTE(SUBSTITUTE(SUBSTITUTE(SUBSTITUTE(SUBSTITUTE($Z19,CHAR(34)," "),"  "," "),"  "," "),"  "," "),"  "," "),"  "," "))&amp;" ","")</f>
        <v xml:space="preserve"> fond brun de veau lie </v>
      </c>
      <c r="AB19" s="581">
        <f>IF(19=19,IF($U19="","",SUMPRODUCT(--ISNUMBER(SEARCH(" "&amp;$CR$2:$CR$101&amp;" ",$AD19)))),"")</f>
        <v>0</v>
      </c>
      <c r="AC19" s="581">
        <f>IF(19=19,IF($U19="","",SUMPRODUCT(--ISNUMBER(SEARCH(" "&amp;$CR$102:$CR$151&amp;" ",$AD19)))),"")</f>
        <v>0</v>
      </c>
      <c r="AD19" s="581" t="e">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19" s="581">
        <f>IF(19=19,IF($U19="","",SUMPRODUCT(--ISNUMBER(SEARCH(" "&amp;$CR$184:$CR$205&amp;" ",$AD19)))),"")</f>
        <v>0</v>
      </c>
      <c r="AF19" s="581" t="str">
        <f>IF(19=19,IF($U19="","",IF(SUM(AB19:AC19)+SUMPRODUCT(--ISNUMBER(SEARCH(" "&amp;$CR$2418:$CR$2420&amp;" ",$AD19)))&gt;0,"X",IF(AE19&gt;0,"?",""))),"")</f>
        <v/>
      </c>
      <c r="AG19" s="581">
        <f>IF(19=19,IF($U19="","",SUMPRODUCT(--ISNUMBER(SEARCH(" "&amp;$CR$206:$CR$305&amp;" ",$AA19)))),"")</f>
        <v>0</v>
      </c>
      <c r="AH19" s="581">
        <f>IF(19=19,IF($U19="","",SUMPRODUCT(--ISNUMBER(SEARCH(" "&amp;$CR$306:$CR$340&amp;" ",$AA19)))),"")</f>
        <v>0</v>
      </c>
      <c r="AI19" s="581" t="str">
        <f>IF(19=19,IF($U19="","",IF((SUM(AG19:AH19))-(0)&gt;0,"X",IF((0)-(0)&gt;0,"?",""))),"")</f>
        <v/>
      </c>
      <c r="AJ19" s="581">
        <f>IF(19=19,IF($U19="","",SUMPRODUCT(--ISNUMBER(SEARCH(" "&amp;$CR$341:$CR$398&amp;" ",$AA19)))),"")</f>
        <v>0</v>
      </c>
      <c r="AK19" s="581">
        <f>IF(19=19,IF($U19="","",SUMPRODUCT(--ISNUMBER(SEARCH(" "&amp;$CR$399:$CR$426&amp;" ",$AL19)))+SUMPRODUCT(--ISNUMBER(SEARCH(" "&amp;$CR$2440:$CR$2453&amp;" ",$AL19)))),"")</f>
        <v>0</v>
      </c>
      <c r="AL19" s="581" t="str">
        <f>IF(19=19,IF($U19="","",SUBSTITUTE(SUBSTITUTE(SUBSTITUTE(SUBSTITUTE(SUBSTITUTE(SUBSTITUTE(SUBSTITUTE(SUBSTITUTE(SUBSTITUTE(SUBSTITUTE(SUBSTITUTE(SUBSTITUTE(SUBSTITUTE($AA19," "&amp;$CR$433&amp;" "," ")," "&amp;$CR$431&amp;" "," ")," "&amp;$CR$2438&amp;" "," ")," "&amp;$CR$2439&amp;" "," ")," "&amp;$CR$428&amp;" "," ")," "&amp;$CR$432&amp;" "," ")," "&amp;$CR$434&amp;" "," ")," "&amp;$CR$429&amp;" "," ")," "&amp;$CR$427&amp;" "," ")," "&amp;$CR$1367&amp;" "," ")," "&amp;$CR$435&amp;" "," ")," "&amp;$CR$1366&amp;" "," ")," "&amp;$CR$430&amp;" "," ")),"")</f>
        <v xml:space="preserve"> fond brun de veau lie </v>
      </c>
      <c r="AM19" s="581" t="str">
        <f>IF(19=19,IF($U19="","",IF(AJ19&gt;0,"X",IF(AK19&gt;0,"?",""))),"")</f>
        <v/>
      </c>
      <c r="AN19" s="581">
        <f>IF(19=19,IF($U19="","",SUMPRODUCT(--ISNUMBER(SEARCH(" "&amp;$CR$436:$CR$535&amp;" ",$AX19)))),"")</f>
        <v>0</v>
      </c>
      <c r="AO19" s="581">
        <f>IF(19=19,IF($U19="","",SUMPRODUCT(--ISNUMBER(SEARCH(" "&amp;$CR$536:$CR$635&amp;" ",$AX19)))),"")</f>
        <v>0</v>
      </c>
      <c r="AP19" s="581">
        <f>IF(19=19,IF($U19="","",SUMPRODUCT(--ISNUMBER(SEARCH(" "&amp;$CR$636:$CR$735&amp;" ",$AX19)))),"")</f>
        <v>0</v>
      </c>
      <c r="AQ19" s="581">
        <f>IF(19=19,IF($U19="","",SUMPRODUCT(--ISNUMBER(SEARCH(" "&amp;$CR$736:$CR$835&amp;" ",$AX19)))),"")</f>
        <v>0</v>
      </c>
      <c r="AR19" s="581">
        <f>IF(19=19,IF($U19="","",SUMPRODUCT(--ISNUMBER(SEARCH(" "&amp;$CR$836:$CR$935&amp;" ",$AX19)))),"")</f>
        <v>0</v>
      </c>
      <c r="AS19" s="581">
        <f>IF(19=19,IF($U19="","",SUMPRODUCT(--ISNUMBER(SEARCH(" "&amp;$CR$936:$CR$1035&amp;" ",$AX19)))),"")</f>
        <v>0</v>
      </c>
      <c r="AT19" s="581">
        <f>IF(19=19,IF($U19="","",SUMPRODUCT(--ISNUMBER(SEARCH(" "&amp;$CR$1036:$CR$1135&amp;" ",$AX19)))),"")</f>
        <v>0</v>
      </c>
      <c r="AU19" s="581">
        <f>IF(19=19,IF($U19="","",SUMPRODUCT(--ISNUMBER(SEARCH(" "&amp;$CR$1136:$CR$1235&amp;" ",$AX19)))),"")</f>
        <v>0</v>
      </c>
      <c r="AV19" s="581">
        <f>IF(19=19,IF($U19="","",SUMPRODUCT(--ISNUMBER(SEARCH(" "&amp;$CR$1236:$CR$1335&amp;" ",$AX19)))),"")</f>
        <v>0</v>
      </c>
      <c r="AW19" s="581">
        <f>IF(19=19,IF($U19="","",SUMPRODUCT(--ISNUMBER(SEARCH(" "&amp;$CR$1336:$CR$1363&amp;" ",$AX19)))),"")</f>
        <v>0</v>
      </c>
      <c r="AX19" s="581" t="str">
        <f>IF(19=19,IF($U19="","",SUBSTITUTE(SUBSTITUTE(SUBSTITUTE(SUBSTITUTE(SUBSTITUTE(SUBSTITUTE(SUBSTITUTE(SUBSTITUTE(SUBSTITUTE($AA19," "&amp;$CR$1365&amp;" "," ")," "&amp;$CR$1364&amp;" "," ")," "&amp;$CR$1370&amp;" "," ")," "&amp;$CR$1371&amp;" "," ")," "&amp;$CR$1367&amp;" "," ")," "&amp;$CR$1369&amp;" "," ")," "&amp;$CR$1366&amp;" "," ")," "&amp;$CR$1368&amp;" "," ")," "&amp;$CR$1372&amp;" "," ")),"")</f>
        <v xml:space="preserve"> fond brun de veau lie </v>
      </c>
      <c r="AY19" s="581">
        <f>IF(19=19,IF($U19="","",SUMPRODUCT(--ISNUMBER(SEARCH(" "&amp;$CR$1373:$CR$1383&amp;" ",$AX19)))),"")</f>
        <v>0</v>
      </c>
      <c r="AZ19" s="581" t="str">
        <f>IF(19=19,IF($U19="","",IF(SUM(AN19:AW19)+SUMPRODUCT(--ISNUMBER(SEARCH(" "&amp;$CR$2421:$CR$2422&amp;" ",$AX19)))&gt;0,"X",IF(AY19&gt;0,"?",""))),"")</f>
        <v/>
      </c>
      <c r="BA19" s="581">
        <f>IF(19=19,IF($U19="","",SUMPRODUCT(--ISNUMBER(SEARCH(" "&amp;$CR$1384:$CR$1404&amp;" ",$AA19)))),"")</f>
        <v>0</v>
      </c>
      <c r="BB19" s="581" t="str">
        <f>IF(19=19,IF($U19="","",IF((BA19)-(0)&gt;0,"X",IF((0)-(0)&gt;0,"?",""))),"")</f>
        <v/>
      </c>
      <c r="BC19" s="581">
        <f>IF(19=19,IF($U19="","",SUMPRODUCT(--ISNUMBER(SEARCH(" "&amp;$CR$1405:$CR$1442&amp;" ",$BD19)))),"")</f>
        <v>0</v>
      </c>
      <c r="BD19" s="581" t="str">
        <f>IF(19=19,IF($U19="","",SUBSTITUTE(SUBSTITUTE($AA19," "&amp;$CR$1443&amp;" "," ")," "&amp;$CR$1444&amp;" "," ")),"")</f>
        <v xml:space="preserve"> fond brun de veau lie </v>
      </c>
      <c r="BE19" s="581">
        <f>IF(19=19,IF($U19="","",SUMPRODUCT(--ISNUMBER(SEARCH(" "&amp;$CR$1445:$CR$1455&amp;" ",$BD19)))),"")</f>
        <v>0</v>
      </c>
      <c r="BF19" s="581" t="str">
        <f>IF(19=19,IF($U19="","",IF(BC19&gt;0,"X",IF(BE19&gt;0,"?",""))),"")</f>
        <v/>
      </c>
      <c r="BG19" s="581">
        <f>IF(19=19,IF($U19="","",SUMPRODUCT(--ISNUMBER(SEARCH(" "&amp;$CR$1456:$CR$1555&amp;" ",$BJ19)))),"")</f>
        <v>0</v>
      </c>
      <c r="BH19" s="581">
        <f>IF(19=19,IF($U19="","",SUMPRODUCT(--ISNUMBER(SEARCH(" "&amp;$CR$1556:$CR$1655&amp;" ",$BJ19)))),"")</f>
        <v>0</v>
      </c>
      <c r="BI19" s="581">
        <f>IF(19=19,IF($U19="","",SUMPRODUCT(--ISNUMBER(SEARCH(" "&amp;$CR$1656:$CR$1739&amp;" ",$BJ19)))),"")</f>
        <v>0</v>
      </c>
      <c r="BJ19" s="581"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brun de veau lie </v>
      </c>
      <c r="BK19" s="581">
        <f>IF(19=19,IF($U19="","",SUMPRODUCT(--ISNUMBER(SEARCH(" "&amp;$CR$1790:$CR$1869&amp;" ",$BL19)))+SUMPRODUCT(--ISNUMBER(SEARCH(" "&amp;$CR$2440:$CR$2453&amp;" ",$BL19)))),"")</f>
        <v>0</v>
      </c>
      <c r="BL19" s="581"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fond brun de veau lie </v>
      </c>
      <c r="BM19" s="581" t="str">
        <f>IF(19=19,IF($U19="","",IF(SUM(BG19:BI19)+SUMPRODUCT(--ISNUMBER(SEARCH(" "&amp;$CR$2423:$CR$2424&amp;" ",$BJ19)))&gt;0,"X",IF(BK19&gt;0,"?",""))),"")</f>
        <v/>
      </c>
      <c r="BN19" s="581">
        <f>IF(19=19,IF($U19="","",SUMPRODUCT(--ISNUMBER(SEARCH(" "&amp;$CR$1879:$CR$1936&amp;" ",$BO19)))),"")</f>
        <v>0</v>
      </c>
      <c r="BO19" s="581"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brun de veau lie </v>
      </c>
      <c r="BP19" s="581">
        <f>IF(19=19,IF($U19="","",SUMPRODUCT(--ISNUMBER(SEARCH(" "&amp;$CR$1960:$CR$1976&amp;" ",$BO19)))),"")</f>
        <v>0</v>
      </c>
      <c r="BQ19" s="581" t="str">
        <f>IF(19=19,IF($U19="","",IF(BN19&gt;0,"X",IF(BP19&gt;0,"?",""))),"")</f>
        <v/>
      </c>
      <c r="BR19" s="581">
        <f>IF(19=19,IF($U19="","",SUMPRODUCT(--ISNUMBER(SEARCH(" "&amp;$CR$1977:$CR$1990&amp;" ",$AA19)))),"")</f>
        <v>0</v>
      </c>
      <c r="BS19" s="581">
        <f>IF(19=19,IF($U19="","",SUMPRODUCT(--ISNUMBER(SEARCH(" "&amp;$CR$1991:$CR$2005&amp;" ",$AA19)))),"")</f>
        <v>1</v>
      </c>
      <c r="BT19" s="581" t="str">
        <f>IF(19=19,IF($U19="","",IF((BR19)-(0)&gt;0,"X",IF((BS19)-(0)&gt;0,"?",""))),"")</f>
        <v>?</v>
      </c>
      <c r="BU19" s="581">
        <f>IF(19=19,IF($U19="","",SUMPRODUCT(--ISNUMBER(SEARCH(" "&amp;$CR$2006:$CR$2023&amp;" ",$AA19)))),"")</f>
        <v>0</v>
      </c>
      <c r="BV19" s="581">
        <f>IF(19=19,IF($U19="","",SUMPRODUCT(--ISNUMBER(SEARCH(" "&amp;$CR$2024:$CR$2038&amp;" ",$AA19)))),"")</f>
        <v>0</v>
      </c>
      <c r="BW19" s="581" t="str">
        <f>IF(19=19,IF($U19="","",IF((BU19)-(0)&gt;0,"X",IF((BV19)-(0)&gt;0,"?",""))),"")</f>
        <v/>
      </c>
      <c r="BX19" s="581">
        <f>IF(19=19,IF($U19="","",SUMPRODUCT(--ISNUMBER(SEARCH(" "&amp;$CR$2039:$CR$2057&amp;" ",$AA19)))),"")</f>
        <v>0</v>
      </c>
      <c r="BY19" s="581">
        <f>IF(19=19,IF($U19="","",SUMPRODUCT(--ISNUMBER(SEARCH(" "&amp;$CR$2058:$CR$2072&amp;" ",$AA19)))),"")</f>
        <v>0</v>
      </c>
      <c r="BZ19" s="581" t="str">
        <f>IF(19=19,IF($U19="","",IF((BX19)-(0)&gt;0,"X",IF((BY19)-(0)&gt;0,"?",""))),"")</f>
        <v/>
      </c>
      <c r="CA19" s="581">
        <f>IF(19=19,IF($U19="","",SUMPRODUCT(--ISNUMBER(SEARCH(" "&amp;$CR$2073:$CR$2093&amp;" ",$AA19)))),"")</f>
        <v>0</v>
      </c>
      <c r="CB19" s="581">
        <f>IF(19=19,IF($U19="","",SUMPRODUCT(--ISNUMBER(SEARCH(" "&amp;$CR$2094:$CR$2133&amp;" ",SUBSTITUTE(SUBSTITUTE($AA19," "&amp;$CR$1367&amp;" "," ")," "&amp;$CR$1366&amp;" "," "))))+--ISNUMBER(SEARCH("poiré",$V19))),"")</f>
        <v>0</v>
      </c>
      <c r="CC19" s="581" t="str">
        <f>IF(19=19,IF($U19="","",IF(OR(CA19&gt;0,ISNUMBER(SEARCH(" vinaigre de vin ",$AA19)),ISNUMBER(SEARCH(" vinaigre au vin ",$AA19))),"X",IF(CB19&gt;0,"?",""))),"")</f>
        <v/>
      </c>
      <c r="CD19" s="581">
        <f>IF(19=19,IF($U19="","",SUMPRODUCT(--ISNUMBER(SEARCH(" "&amp;$CR$2134:$CR$2146&amp;" ",$AA19)))),"")</f>
        <v>0</v>
      </c>
      <c r="CE19" s="581">
        <f>IF(19=19,IF($U19="","",SUMPRODUCT(--ISNUMBER(SEARCH(" "&amp;$CR$2147:$CR$2152&amp;" ",$AA19)))),"")</f>
        <v>0</v>
      </c>
      <c r="CF19" s="581" t="str">
        <f>IF(19=19,IF($U19="","",IF((CD19)-(0)&gt;0,"X",IF((CE19)-(0)&gt;0,"?",""))),"")</f>
        <v/>
      </c>
      <c r="CG19" s="581">
        <f>IF(19=19,IF($U19="","",SUMPRODUCT(--ISNUMBER(SEARCH(" "&amp;$CR$2153:$CR$2252&amp;" ",$CJ19)))),"")</f>
        <v>0</v>
      </c>
      <c r="CH19" s="581">
        <f>IF(19=19,IF($U19="","",SUMPRODUCT(--ISNUMBER(SEARCH(" "&amp;$CR$2253:$CR$2352&amp;" ",$CJ19)))),"")</f>
        <v>0</v>
      </c>
      <c r="CI19" s="581">
        <f>IF(19=19,IF($U19="","",SUMPRODUCT(--ISNUMBER(SEARCH(" "&amp;$CR$2353:$CR$2395&amp;" ",$CJ19)))),"")</f>
        <v>0</v>
      </c>
      <c r="CJ19" s="581"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fond brun de veau lie </v>
      </c>
      <c r="CK19" s="581">
        <f>IF(19=19,IF($U19="","",SUMPRODUCT(--ISNUMBER(SEARCH(" "&amp;$CR$2412:$CR$2416&amp;" ",$CJ19)))),"")</f>
        <v>0</v>
      </c>
      <c r="CL19" s="581" t="str">
        <f>IF(19=19,IF($U19="","",IF(SUM(CG19:CI19)&gt;0,"X",IF(CK19&gt;0,"?",""))),"")</f>
        <v/>
      </c>
      <c r="CM19" s="582"/>
      <c r="CN19" s="584" t="s">
        <v>2022</v>
      </c>
      <c r="CO19" s="584" t="s">
        <v>1887</v>
      </c>
      <c r="CP19" s="584" t="s">
        <v>1888</v>
      </c>
      <c r="CQ19" s="584" t="s">
        <v>2023</v>
      </c>
      <c r="CR19" s="584" t="s">
        <v>2023</v>
      </c>
      <c r="CS19" s="584" t="s">
        <v>1890</v>
      </c>
      <c r="CT19" s="584" t="s">
        <v>1891</v>
      </c>
      <c r="CU19" s="584" t="s">
        <v>1892</v>
      </c>
      <c r="CV19" s="585" t="s">
        <v>1893</v>
      </c>
    </row>
    <row r="20" spans="1:100" ht="21.95" customHeight="1" x14ac:dyDescent="0.25">
      <c r="A20" s="597">
        <v>14</v>
      </c>
      <c r="B20" s="598" t="s">
        <v>2024</v>
      </c>
      <c r="C20" s="599" t="str">
        <f t="shared" si="0"/>
        <v>Gelée de groseilles</v>
      </c>
      <c r="D20" s="600"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601" t="str">
        <f>IF(20=20,IF($B20="","",AF20),"")</f>
        <v/>
      </c>
      <c r="F20" s="601" t="str">
        <f>IF(20=20,IF($B20="","",AI20),"")</f>
        <v/>
      </c>
      <c r="G20" s="601" t="str">
        <f>IF(20=20,IF($B20="","",AM20),"")</f>
        <v/>
      </c>
      <c r="H20" s="601" t="str">
        <f>IF(20=20,IF($B20="","",AZ20),"")</f>
        <v/>
      </c>
      <c r="I20" s="601" t="str">
        <f>IF(20=20,IF($B20="","",BB20),"")</f>
        <v/>
      </c>
      <c r="J20" s="601" t="str">
        <f>IF(20=20,IF($B20="","",BF20),"")</f>
        <v/>
      </c>
      <c r="K20" s="601" t="str">
        <f>IF(20=20,IF($B20="","",BM20),"")</f>
        <v/>
      </c>
      <c r="L20" s="601" t="str">
        <f>IF(20=20,IF($B20="","",BQ20),"")</f>
        <v/>
      </c>
      <c r="M20" s="601" t="str">
        <f>IF(20=20,IF($B20="","",BT20),"")</f>
        <v/>
      </c>
      <c r="N20" s="601" t="str">
        <f>IF(20=20,IF($B20="","",BW20),"")</f>
        <v/>
      </c>
      <c r="O20" s="601" t="str">
        <f>IF(20=20,IF($B20="","",BZ20),"")</f>
        <v/>
      </c>
      <c r="P20" s="601" t="str">
        <f>IF(20=20,IF($B20="","",CC20),"")</f>
        <v/>
      </c>
      <c r="Q20" s="601" t="str">
        <f>IF(20=20,IF($B20="","",CF20),"")</f>
        <v/>
      </c>
      <c r="R20" s="601" t="str">
        <f>IF(20=20,IF($B20="","",CL20),"")</f>
        <v/>
      </c>
      <c r="S20" s="602"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581" t="str">
        <f>IF(20=20,IF($B20="","",$B20),"")</f>
        <v>Gelée de groseilles</v>
      </c>
      <c r="V20" s="581" t="str">
        <f>IF(20=20,LOWER(CLEAN(SUBSTITUTE(SUBSTITUTE(SUBSTITUTE(SUBSTITUTE($U20,CHAR(160)," ")," "," "),CHAR(10)," "),CHAR(13)," "))),"")</f>
        <v>gelée de groseilles</v>
      </c>
      <c r="W20" s="581" t="str">
        <f>IF(20=20,SUBSTITUTE(SUBSTITUTE(SUBSTITUTE(SUBSTITUTE(SUBSTITUTE(SUBSTITUTE(SUBSTITUTE(SUBSTITUTE(SUBSTITUTE(SUBSTITUTE(SUBSTITUTE(SUBSTITUTE($V20,"œ","oe"),"æ","ae"),"à","a"),"á","a"),"â","a"),"ä","a"),"ã","a"),"ç","c"),"è","e"),"é","e"),"ê","e"),"ë","e"),"")</f>
        <v>gelee de groseilles</v>
      </c>
      <c r="X20" s="581" t="str">
        <f>IF(20=20,SUBSTITUTE(SUBSTITUTE(SUBSTITUTE(SUBSTITUTE(SUBSTITUTE(SUBSTITUTE(SUBSTITUTE(SUBSTITUTE(SUBSTITUTE(SUBSTITUTE(SUBSTITUTE(SUBSTITUTE(SUBSTITUTE(SUBSTITUTE(SUBSTITUTE(SUBSTITUTE($W20,"ì","i"),"í","i"),"î","i"),"ï","i"),"ñ","n"),"ò","o"),"ó","o"),"ô","o"),"ö","o"),"õ","o"),"ù","u"),"ú","u"),"û","u"),"ü","u"),"ý","y"),"ÿ","y"),"")</f>
        <v>gelee de groseilles</v>
      </c>
      <c r="Y20" s="581" t="str">
        <f>IF(20=20,SUBSTITUTE(SUBSTITUTE(SUBSTITUTE(SUBSTITUTE(SUBSTITUTE(SUBSTITUTE(SUBSTITUTE(SUBSTITUTE(SUBSTITUTE(SUBSTITUTE(SUBSTITUTE(SUBSTITUTE(SUBSTITUTE(SUBSTITUTE($X20,"’"," "),"`"," "),"–"," "),"—"," "),"-"," "),"'"," "),"/"," "),"_"," "),","," "),"."," "),"("," "),")"," "),";"," "),":"," "),"")</f>
        <v>gelee de groseilles</v>
      </c>
      <c r="Z20" s="581" t="str">
        <f>IF(20=20,SUBSTITUTE(SUBSTITUTE(SUBSTITUTE(SUBSTITUTE(SUBSTITUTE(SUBSTITUTE(SUBSTITUTE(SUBSTITUTE(SUBSTITUTE(SUBSTITUTE(SUBSTITUTE(SUBSTITUTE(SUBSTITUTE(SUBSTITUTE(SUBSTITUTE($Y20,"!"," "),"?"," "),"+"," "),"*"," "),"&amp;"," "),"["," "),"]"," "),"{"," "),"}"," "),"%"," "),"="," "),"\"," "),"|"," "),"&lt;"," "),"&gt;"," "),"")</f>
        <v>gelee de groseilles</v>
      </c>
      <c r="AA20" s="581" t="str">
        <f>IF(20=20," "&amp;TRIM(SUBSTITUTE(SUBSTITUTE(SUBSTITUTE(SUBSTITUTE(SUBSTITUTE(SUBSTITUTE($Z20,CHAR(34)," "),"  "," "),"  "," "),"  "," "),"  "," "),"  "," "))&amp;" ","")</f>
        <v xml:space="preserve"> gelee de groseilles </v>
      </c>
      <c r="AB20" s="581">
        <f>IF(20=20,IF($U20="","",SUMPRODUCT(--ISNUMBER(SEARCH(" "&amp;$CR$2:$CR$101&amp;" ",$AD20)))),"")</f>
        <v>0</v>
      </c>
      <c r="AC20" s="581">
        <f>IF(20=20,IF($U20="","",SUMPRODUCT(--ISNUMBER(SEARCH(" "&amp;$CR$102:$CR$151&amp;" ",$AD20)))),"")</f>
        <v>0</v>
      </c>
      <c r="AD20" s="581" t="e">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0" s="581">
        <f>IF(20=20,IF($U20="","",SUMPRODUCT(--ISNUMBER(SEARCH(" "&amp;$CR$184:$CR$205&amp;" ",$AD20)))),"")</f>
        <v>0</v>
      </c>
      <c r="AF20" s="581" t="str">
        <f>IF(20=20,IF($U20="","",IF(SUM(AB20:AC20)+SUMPRODUCT(--ISNUMBER(SEARCH(" "&amp;$CR$2418:$CR$2420&amp;" ",$AD20)))&gt;0,"X",IF(AE20&gt;0,"?",""))),"")</f>
        <v/>
      </c>
      <c r="AG20" s="581">
        <f>IF(20=20,IF($U20="","",SUMPRODUCT(--ISNUMBER(SEARCH(" "&amp;$CR$206:$CR$305&amp;" ",$AA20)))),"")</f>
        <v>0</v>
      </c>
      <c r="AH20" s="581">
        <f>IF(20=20,IF($U20="","",SUMPRODUCT(--ISNUMBER(SEARCH(" "&amp;$CR$306:$CR$340&amp;" ",$AA20)))),"")</f>
        <v>0</v>
      </c>
      <c r="AI20" s="581" t="str">
        <f>IF(20=20,IF($U20="","",IF((SUM(AG20:AH20))-(0)&gt;0,"X",IF((0)-(0)&gt;0,"?",""))),"")</f>
        <v/>
      </c>
      <c r="AJ20" s="581">
        <f>IF(20=20,IF($U20="","",SUMPRODUCT(--ISNUMBER(SEARCH(" "&amp;$CR$341:$CR$398&amp;" ",$AA20)))),"")</f>
        <v>0</v>
      </c>
      <c r="AK20" s="581">
        <f>IF(20=20,IF($U20="","",SUMPRODUCT(--ISNUMBER(SEARCH(" "&amp;$CR$399:$CR$426&amp;" ",$AL20)))+SUMPRODUCT(--ISNUMBER(SEARCH(" "&amp;$CR$2440:$CR$2453&amp;" ",$AL20)))),"")</f>
        <v>0</v>
      </c>
      <c r="AL20" s="581" t="str">
        <f>IF(20=20,IF($U20="","",SUBSTITUTE(SUBSTITUTE(SUBSTITUTE(SUBSTITUTE(SUBSTITUTE(SUBSTITUTE(SUBSTITUTE(SUBSTITUTE(SUBSTITUTE(SUBSTITUTE(SUBSTITUTE(SUBSTITUTE(SUBSTITUTE($AA20," "&amp;$CR$433&amp;" "," ")," "&amp;$CR$431&amp;" "," ")," "&amp;$CR$2438&amp;" "," ")," "&amp;$CR$2439&amp;" "," ")," "&amp;$CR$428&amp;" "," ")," "&amp;$CR$432&amp;" "," ")," "&amp;$CR$434&amp;" "," ")," "&amp;$CR$429&amp;" "," ")," "&amp;$CR$427&amp;" "," ")," "&amp;$CR$1367&amp;" "," ")," "&amp;$CR$435&amp;" "," ")," "&amp;$CR$1366&amp;" "," ")," "&amp;$CR$430&amp;" "," ")),"")</f>
        <v xml:space="preserve"> gelee de groseilles </v>
      </c>
      <c r="AM20" s="581" t="str">
        <f>IF(20=20,IF($U20="","",IF(AJ20&gt;0,"X",IF(AK20&gt;0,"?",""))),"")</f>
        <v/>
      </c>
      <c r="AN20" s="581">
        <f>IF(20=20,IF($U20="","",SUMPRODUCT(--ISNUMBER(SEARCH(" "&amp;$CR$436:$CR$535&amp;" ",$AX20)))),"")</f>
        <v>0</v>
      </c>
      <c r="AO20" s="581">
        <f>IF(20=20,IF($U20="","",SUMPRODUCT(--ISNUMBER(SEARCH(" "&amp;$CR$536:$CR$635&amp;" ",$AX20)))),"")</f>
        <v>0</v>
      </c>
      <c r="AP20" s="581">
        <f>IF(20=20,IF($U20="","",SUMPRODUCT(--ISNUMBER(SEARCH(" "&amp;$CR$636:$CR$735&amp;" ",$AX20)))),"")</f>
        <v>0</v>
      </c>
      <c r="AQ20" s="581">
        <f>IF(20=20,IF($U20="","",SUMPRODUCT(--ISNUMBER(SEARCH(" "&amp;$CR$736:$CR$835&amp;" ",$AX20)))),"")</f>
        <v>0</v>
      </c>
      <c r="AR20" s="581">
        <f>IF(20=20,IF($U20="","",SUMPRODUCT(--ISNUMBER(SEARCH(" "&amp;$CR$836:$CR$935&amp;" ",$AX20)))),"")</f>
        <v>0</v>
      </c>
      <c r="AS20" s="581">
        <f>IF(20=20,IF($U20="","",SUMPRODUCT(--ISNUMBER(SEARCH(" "&amp;$CR$936:$CR$1035&amp;" ",$AX20)))),"")</f>
        <v>0</v>
      </c>
      <c r="AT20" s="581">
        <f>IF(20=20,IF($U20="","",SUMPRODUCT(--ISNUMBER(SEARCH(" "&amp;$CR$1036:$CR$1135&amp;" ",$AX20)))),"")</f>
        <v>0</v>
      </c>
      <c r="AU20" s="581">
        <f>IF(20=20,IF($U20="","",SUMPRODUCT(--ISNUMBER(SEARCH(" "&amp;$CR$1136:$CR$1235&amp;" ",$AX20)))),"")</f>
        <v>0</v>
      </c>
      <c r="AV20" s="581">
        <f>IF(20=20,IF($U20="","",SUMPRODUCT(--ISNUMBER(SEARCH(" "&amp;$CR$1236:$CR$1335&amp;" ",$AX20)))),"")</f>
        <v>0</v>
      </c>
      <c r="AW20" s="581">
        <f>IF(20=20,IF($U20="","",SUMPRODUCT(--ISNUMBER(SEARCH(" "&amp;$CR$1336:$CR$1363&amp;" ",$AX20)))),"")</f>
        <v>0</v>
      </c>
      <c r="AX20" s="581" t="str">
        <f>IF(20=20,IF($U20="","",SUBSTITUTE(SUBSTITUTE(SUBSTITUTE(SUBSTITUTE(SUBSTITUTE(SUBSTITUTE(SUBSTITUTE(SUBSTITUTE(SUBSTITUTE($AA20," "&amp;$CR$1365&amp;" "," ")," "&amp;$CR$1364&amp;" "," ")," "&amp;$CR$1370&amp;" "," ")," "&amp;$CR$1371&amp;" "," ")," "&amp;$CR$1367&amp;" "," ")," "&amp;$CR$1369&amp;" "," ")," "&amp;$CR$1366&amp;" "," ")," "&amp;$CR$1368&amp;" "," ")," "&amp;$CR$1372&amp;" "," ")),"")</f>
        <v xml:space="preserve"> gelee de groseilles </v>
      </c>
      <c r="AY20" s="581">
        <f>IF(20=20,IF($U20="","",SUMPRODUCT(--ISNUMBER(SEARCH(" "&amp;$CR$1373:$CR$1383&amp;" ",$AX20)))),"")</f>
        <v>0</v>
      </c>
      <c r="AZ20" s="581" t="str">
        <f>IF(20=20,IF($U20="","",IF(SUM(AN20:AW20)+SUMPRODUCT(--ISNUMBER(SEARCH(" "&amp;$CR$2421:$CR$2422&amp;" ",$AX20)))&gt;0,"X",IF(AY20&gt;0,"?",""))),"")</f>
        <v/>
      </c>
      <c r="BA20" s="581">
        <f>IF(20=20,IF($U20="","",SUMPRODUCT(--ISNUMBER(SEARCH(" "&amp;$CR$1384:$CR$1404&amp;" ",$AA20)))),"")</f>
        <v>0</v>
      </c>
      <c r="BB20" s="581" t="str">
        <f>IF(20=20,IF($U20="","",IF((BA20)-(0)&gt;0,"X",IF((0)-(0)&gt;0,"?",""))),"")</f>
        <v/>
      </c>
      <c r="BC20" s="581">
        <f>IF(20=20,IF($U20="","",SUMPRODUCT(--ISNUMBER(SEARCH(" "&amp;$CR$1405:$CR$1442&amp;" ",$BD20)))),"")</f>
        <v>0</v>
      </c>
      <c r="BD20" s="581" t="str">
        <f>IF(20=20,IF($U20="","",SUBSTITUTE(SUBSTITUTE($AA20," "&amp;$CR$1443&amp;" "," ")," "&amp;$CR$1444&amp;" "," ")),"")</f>
        <v xml:space="preserve"> gelee de groseilles </v>
      </c>
      <c r="BE20" s="581">
        <f>IF(20=20,IF($U20="","",SUMPRODUCT(--ISNUMBER(SEARCH(" "&amp;$CR$1445:$CR$1455&amp;" ",$BD20)))),"")</f>
        <v>0</v>
      </c>
      <c r="BF20" s="581" t="str">
        <f>IF(20=20,IF($U20="","",IF(BC20&gt;0,"X",IF(BE20&gt;0,"?",""))),"")</f>
        <v/>
      </c>
      <c r="BG20" s="581">
        <f>IF(20=20,IF($U20="","",SUMPRODUCT(--ISNUMBER(SEARCH(" "&amp;$CR$1456:$CR$1555&amp;" ",$BJ20)))),"")</f>
        <v>0</v>
      </c>
      <c r="BH20" s="581">
        <f>IF(20=20,IF($U20="","",SUMPRODUCT(--ISNUMBER(SEARCH(" "&amp;$CR$1556:$CR$1655&amp;" ",$BJ20)))),"")</f>
        <v>0</v>
      </c>
      <c r="BI20" s="581">
        <f>IF(20=20,IF($U20="","",SUMPRODUCT(--ISNUMBER(SEARCH(" "&amp;$CR$1656:$CR$1739&amp;" ",$BJ20)))),"")</f>
        <v>0</v>
      </c>
      <c r="BJ20" s="581"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gelee de groseilles </v>
      </c>
      <c r="BK20" s="581">
        <f>IF(20=20,IF($U20="","",SUMPRODUCT(--ISNUMBER(SEARCH(" "&amp;$CR$1790:$CR$1869&amp;" ",$BL20)))+SUMPRODUCT(--ISNUMBER(SEARCH(" "&amp;$CR$2440:$CR$2453&amp;" ",$BL20)))),"")</f>
        <v>0</v>
      </c>
      <c r="BL20" s="581"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gelee de groseilles </v>
      </c>
      <c r="BM20" s="581" t="str">
        <f>IF(20=20,IF($U20="","",IF(SUM(BG20:BI20)+SUMPRODUCT(--ISNUMBER(SEARCH(" "&amp;$CR$2423:$CR$2424&amp;" ",$BJ20)))&gt;0,"X",IF(BK20&gt;0,"?",""))),"")</f>
        <v/>
      </c>
      <c r="BN20" s="581">
        <f>IF(20=20,IF($U20="","",SUMPRODUCT(--ISNUMBER(SEARCH(" "&amp;$CR$1879:$CR$1936&amp;" ",$BO20)))),"")</f>
        <v>0</v>
      </c>
      <c r="BO20" s="581"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gelee de groseilles </v>
      </c>
      <c r="BP20" s="581">
        <f>IF(20=20,IF($U20="","",SUMPRODUCT(--ISNUMBER(SEARCH(" "&amp;$CR$1960:$CR$1976&amp;" ",$BO20)))),"")</f>
        <v>0</v>
      </c>
      <c r="BQ20" s="581" t="str">
        <f>IF(20=20,IF($U20="","",IF(BN20&gt;0,"X",IF(BP20&gt;0,"?",""))),"")</f>
        <v/>
      </c>
      <c r="BR20" s="581">
        <f>IF(20=20,IF($U20="","",SUMPRODUCT(--ISNUMBER(SEARCH(" "&amp;$CR$1977:$CR$1990&amp;" ",$AA20)))),"")</f>
        <v>0</v>
      </c>
      <c r="BS20" s="581">
        <f>IF(20=20,IF($U20="","",SUMPRODUCT(--ISNUMBER(SEARCH(" "&amp;$CR$1991:$CR$2005&amp;" ",$AA20)))),"")</f>
        <v>0</v>
      </c>
      <c r="BT20" s="581" t="str">
        <f>IF(20=20,IF($U20="","",IF((BR20)-(0)&gt;0,"X",IF((BS20)-(0)&gt;0,"?",""))),"")</f>
        <v/>
      </c>
      <c r="BU20" s="581">
        <f>IF(20=20,IF($U20="","",SUMPRODUCT(--ISNUMBER(SEARCH(" "&amp;$CR$2006:$CR$2023&amp;" ",$AA20)))),"")</f>
        <v>0</v>
      </c>
      <c r="BV20" s="581">
        <f>IF(20=20,IF($U20="","",SUMPRODUCT(--ISNUMBER(SEARCH(" "&amp;$CR$2024:$CR$2038&amp;" ",$AA20)))),"")</f>
        <v>0</v>
      </c>
      <c r="BW20" s="581" t="str">
        <f>IF(20=20,IF($U20="","",IF((BU20)-(0)&gt;0,"X",IF((BV20)-(0)&gt;0,"?",""))),"")</f>
        <v/>
      </c>
      <c r="BX20" s="581">
        <f>IF(20=20,IF($U20="","",SUMPRODUCT(--ISNUMBER(SEARCH(" "&amp;$CR$2039:$CR$2057&amp;" ",$AA20)))),"")</f>
        <v>0</v>
      </c>
      <c r="BY20" s="581">
        <f>IF(20=20,IF($U20="","",SUMPRODUCT(--ISNUMBER(SEARCH(" "&amp;$CR$2058:$CR$2072&amp;" ",$AA20)))),"")</f>
        <v>0</v>
      </c>
      <c r="BZ20" s="581" t="str">
        <f>IF(20=20,IF($U20="","",IF((BX20)-(0)&gt;0,"X",IF((BY20)-(0)&gt;0,"?",""))),"")</f>
        <v/>
      </c>
      <c r="CA20" s="581">
        <f>IF(20=20,IF($U20="","",SUMPRODUCT(--ISNUMBER(SEARCH(" "&amp;$CR$2073:$CR$2093&amp;" ",$AA20)))),"")</f>
        <v>0</v>
      </c>
      <c r="CB20" s="581">
        <f>IF(20=20,IF($U20="","",SUMPRODUCT(--ISNUMBER(SEARCH(" "&amp;$CR$2094:$CR$2133&amp;" ",SUBSTITUTE(SUBSTITUTE($AA20," "&amp;$CR$1367&amp;" "," ")," "&amp;$CR$1366&amp;" "," "))))+--ISNUMBER(SEARCH("poiré",$V20))),"")</f>
        <v>0</v>
      </c>
      <c r="CC20" s="581" t="str">
        <f>IF(20=20,IF($U20="","",IF(OR(CA20&gt;0,ISNUMBER(SEARCH(" vinaigre de vin ",$AA20)),ISNUMBER(SEARCH(" vinaigre au vin ",$AA20))),"X",IF(CB20&gt;0,"?",""))),"")</f>
        <v/>
      </c>
      <c r="CD20" s="581">
        <f>IF(20=20,IF($U20="","",SUMPRODUCT(--ISNUMBER(SEARCH(" "&amp;$CR$2134:$CR$2146&amp;" ",$AA20)))),"")</f>
        <v>0</v>
      </c>
      <c r="CE20" s="581">
        <f>IF(20=20,IF($U20="","",SUMPRODUCT(--ISNUMBER(SEARCH(" "&amp;$CR$2147:$CR$2152&amp;" ",$AA20)))),"")</f>
        <v>0</v>
      </c>
      <c r="CF20" s="581" t="str">
        <f>IF(20=20,IF($U20="","",IF((CD20)-(0)&gt;0,"X",IF((CE20)-(0)&gt;0,"?",""))),"")</f>
        <v/>
      </c>
      <c r="CG20" s="581">
        <f>IF(20=20,IF($U20="","",SUMPRODUCT(--ISNUMBER(SEARCH(" "&amp;$CR$2153:$CR$2252&amp;" ",$CJ20)))),"")</f>
        <v>0</v>
      </c>
      <c r="CH20" s="581">
        <f>IF(20=20,IF($U20="","",SUMPRODUCT(--ISNUMBER(SEARCH(" "&amp;$CR$2253:$CR$2352&amp;" ",$CJ20)))),"")</f>
        <v>0</v>
      </c>
      <c r="CI20" s="581">
        <f>IF(20=20,IF($U20="","",SUMPRODUCT(--ISNUMBER(SEARCH(" "&amp;$CR$2353:$CR$2395&amp;" ",$CJ20)))),"")</f>
        <v>0</v>
      </c>
      <c r="CJ20" s="581"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gelee de groseilles </v>
      </c>
      <c r="CK20" s="581">
        <f>IF(20=20,IF($U20="","",SUMPRODUCT(--ISNUMBER(SEARCH(" "&amp;$CR$2412:$CR$2416&amp;" ",$CJ20)))),"")</f>
        <v>0</v>
      </c>
      <c r="CL20" s="581" t="str">
        <f>IF(20=20,IF($U20="","",IF(SUM(CG20:CI20)&gt;0,"X",IF(CK20&gt;0,"?",""))),"")</f>
        <v/>
      </c>
      <c r="CM20" s="582"/>
      <c r="CN20" s="584" t="s">
        <v>2025</v>
      </c>
      <c r="CO20" s="584" t="s">
        <v>1887</v>
      </c>
      <c r="CP20" s="584" t="s">
        <v>1888</v>
      </c>
      <c r="CQ20" s="584" t="s">
        <v>2026</v>
      </c>
      <c r="CR20" s="584" t="s">
        <v>2026</v>
      </c>
      <c r="CS20" s="584" t="s">
        <v>1890</v>
      </c>
      <c r="CT20" s="584" t="s">
        <v>1891</v>
      </c>
      <c r="CU20" s="584" t="s">
        <v>1892</v>
      </c>
      <c r="CV20" s="585" t="s">
        <v>1893</v>
      </c>
    </row>
    <row r="21" spans="1:100" ht="21.95" customHeight="1" x14ac:dyDescent="0.25">
      <c r="A21" s="597">
        <v>15</v>
      </c>
      <c r="B21" s="598" t="s">
        <v>2027</v>
      </c>
      <c r="C21" s="599" t="str">
        <f t="shared" si="0"/>
        <v>Vinaigre de vin *</v>
      </c>
      <c r="D21" s="600"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Sulfites</v>
      </c>
      <c r="E21" s="601" t="str">
        <f>IF(21=21,IF($B21="","",AF21),"")</f>
        <v/>
      </c>
      <c r="F21" s="601" t="str">
        <f>IF(21=21,IF($B21="","",AI21),"")</f>
        <v/>
      </c>
      <c r="G21" s="601" t="str">
        <f>IF(21=21,IF($B21="","",AM21),"")</f>
        <v/>
      </c>
      <c r="H21" s="601" t="str">
        <f>IF(21=21,IF($B21="","",AZ21),"")</f>
        <v/>
      </c>
      <c r="I21" s="601" t="str">
        <f>IF(21=21,IF($B21="","",BB21),"")</f>
        <v/>
      </c>
      <c r="J21" s="601" t="str">
        <f>IF(21=21,IF($B21="","",BF21),"")</f>
        <v/>
      </c>
      <c r="K21" s="601" t="str">
        <f>IF(21=21,IF($B21="","",BM21),"")</f>
        <v/>
      </c>
      <c r="L21" s="601" t="str">
        <f>IF(21=21,IF($B21="","",BQ21),"")</f>
        <v/>
      </c>
      <c r="M21" s="601" t="str">
        <f>IF(21=21,IF($B21="","",BT21),"")</f>
        <v/>
      </c>
      <c r="N21" s="601" t="str">
        <f>IF(21=21,IF($B21="","",BW21),"")</f>
        <v/>
      </c>
      <c r="O21" s="601" t="str">
        <f>IF(21=21,IF($B21="","",BZ21),"")</f>
        <v/>
      </c>
      <c r="P21" s="601" t="str">
        <f>IF(21=21,IF($B21="","",CC21),"")</f>
        <v>X</v>
      </c>
      <c r="Q21" s="601" t="str">
        <f>IF(21=21,IF($B21="","",CF21),"")</f>
        <v/>
      </c>
      <c r="R21" s="601" t="str">
        <f>IF(21=21,IF($B21="","",CL21),"")</f>
        <v/>
      </c>
      <c r="S21" s="602"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581" t="str">
        <f>IF(21=21,IF($B21="","",$B21),"")</f>
        <v>Vinaigre de vin</v>
      </c>
      <c r="V21" s="581" t="str">
        <f>IF(21=21,LOWER(CLEAN(SUBSTITUTE(SUBSTITUTE(SUBSTITUTE(SUBSTITUTE($U21,CHAR(160)," ")," "," "),CHAR(10)," "),CHAR(13)," "))),"")</f>
        <v>vinaigre de vin</v>
      </c>
      <c r="W21" s="581" t="str">
        <f>IF(21=21,SUBSTITUTE(SUBSTITUTE(SUBSTITUTE(SUBSTITUTE(SUBSTITUTE(SUBSTITUTE(SUBSTITUTE(SUBSTITUTE(SUBSTITUTE(SUBSTITUTE(SUBSTITUTE(SUBSTITUTE($V21,"œ","oe"),"æ","ae"),"à","a"),"á","a"),"â","a"),"ä","a"),"ã","a"),"ç","c"),"è","e"),"é","e"),"ê","e"),"ë","e"),"")</f>
        <v>vinaigre de vin</v>
      </c>
      <c r="X21" s="581" t="str">
        <f>IF(21=21,SUBSTITUTE(SUBSTITUTE(SUBSTITUTE(SUBSTITUTE(SUBSTITUTE(SUBSTITUTE(SUBSTITUTE(SUBSTITUTE(SUBSTITUTE(SUBSTITUTE(SUBSTITUTE(SUBSTITUTE(SUBSTITUTE(SUBSTITUTE(SUBSTITUTE(SUBSTITUTE($W21,"ì","i"),"í","i"),"î","i"),"ï","i"),"ñ","n"),"ò","o"),"ó","o"),"ô","o"),"ö","o"),"õ","o"),"ù","u"),"ú","u"),"û","u"),"ü","u"),"ý","y"),"ÿ","y"),"")</f>
        <v>vinaigre de vin</v>
      </c>
      <c r="Y21" s="581" t="str">
        <f>IF(21=21,SUBSTITUTE(SUBSTITUTE(SUBSTITUTE(SUBSTITUTE(SUBSTITUTE(SUBSTITUTE(SUBSTITUTE(SUBSTITUTE(SUBSTITUTE(SUBSTITUTE(SUBSTITUTE(SUBSTITUTE(SUBSTITUTE(SUBSTITUTE($X21,"’"," "),"`"," "),"–"," "),"—"," "),"-"," "),"'"," "),"/"," "),"_"," "),","," "),"."," "),"("," "),")"," "),";"," "),":"," "),"")</f>
        <v>vinaigre de vin</v>
      </c>
      <c r="Z21" s="581" t="str">
        <f>IF(21=21,SUBSTITUTE(SUBSTITUTE(SUBSTITUTE(SUBSTITUTE(SUBSTITUTE(SUBSTITUTE(SUBSTITUTE(SUBSTITUTE(SUBSTITUTE(SUBSTITUTE(SUBSTITUTE(SUBSTITUTE(SUBSTITUTE(SUBSTITUTE(SUBSTITUTE($Y21,"!"," "),"?"," "),"+"," "),"*"," "),"&amp;"," "),"["," "),"]"," "),"{"," "),"}"," "),"%"," "),"="," "),"\"," "),"|"," "),"&lt;"," "),"&gt;"," "),"")</f>
        <v>vinaigre de vin</v>
      </c>
      <c r="AA21" s="581" t="str">
        <f>IF(21=21," "&amp;TRIM(SUBSTITUTE(SUBSTITUTE(SUBSTITUTE(SUBSTITUTE(SUBSTITUTE(SUBSTITUTE($Z21,CHAR(34)," "),"  "," "),"  "," "),"  "," "),"  "," "),"  "," "))&amp;" ","")</f>
        <v xml:space="preserve"> vinaigre de vin </v>
      </c>
      <c r="AB21" s="581">
        <f>IF(21=21,IF($U21="","",SUMPRODUCT(--ISNUMBER(SEARCH(" "&amp;$CR$2:$CR$101&amp;" ",$AD21)))),"")</f>
        <v>0</v>
      </c>
      <c r="AC21" s="581">
        <f>IF(21=21,IF($U21="","",SUMPRODUCT(--ISNUMBER(SEARCH(" "&amp;$CR$102:$CR$151&amp;" ",$AD21)))),"")</f>
        <v>0</v>
      </c>
      <c r="AD21" s="581" t="e">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1" s="581">
        <f>IF(21=21,IF($U21="","",SUMPRODUCT(--ISNUMBER(SEARCH(" "&amp;$CR$184:$CR$205&amp;" ",$AD21)))),"")</f>
        <v>0</v>
      </c>
      <c r="AF21" s="581" t="str">
        <f>IF(21=21,IF($U21="","",IF(SUM(AB21:AC21)+SUMPRODUCT(--ISNUMBER(SEARCH(" "&amp;$CR$2418:$CR$2420&amp;" ",$AD21)))&gt;0,"X",IF(AE21&gt;0,"?",""))),"")</f>
        <v/>
      </c>
      <c r="AG21" s="581">
        <f>IF(21=21,IF($U21="","",SUMPRODUCT(--ISNUMBER(SEARCH(" "&amp;$CR$206:$CR$305&amp;" ",$AA21)))),"")</f>
        <v>0</v>
      </c>
      <c r="AH21" s="581">
        <f>IF(21=21,IF($U21="","",SUMPRODUCT(--ISNUMBER(SEARCH(" "&amp;$CR$306:$CR$340&amp;" ",$AA21)))),"")</f>
        <v>0</v>
      </c>
      <c r="AI21" s="581" t="str">
        <f>IF(21=21,IF($U21="","",IF((SUM(AG21:AH21))-(0)&gt;0,"X",IF((0)-(0)&gt;0,"?",""))),"")</f>
        <v/>
      </c>
      <c r="AJ21" s="581">
        <f>IF(21=21,IF($U21="","",SUMPRODUCT(--ISNUMBER(SEARCH(" "&amp;$CR$341:$CR$398&amp;" ",$AA21)))),"")</f>
        <v>0</v>
      </c>
      <c r="AK21" s="581">
        <f>IF(21=21,IF($U21="","",SUMPRODUCT(--ISNUMBER(SEARCH(" "&amp;$CR$399:$CR$426&amp;" ",$AL21)))+SUMPRODUCT(--ISNUMBER(SEARCH(" "&amp;$CR$2440:$CR$2453&amp;" ",$AL21)))),"")</f>
        <v>0</v>
      </c>
      <c r="AL21" s="581" t="str">
        <f>IF(21=21,IF($U21="","",SUBSTITUTE(SUBSTITUTE(SUBSTITUTE(SUBSTITUTE(SUBSTITUTE(SUBSTITUTE(SUBSTITUTE(SUBSTITUTE(SUBSTITUTE(SUBSTITUTE(SUBSTITUTE(SUBSTITUTE(SUBSTITUTE($AA21," "&amp;$CR$433&amp;" "," ")," "&amp;$CR$431&amp;" "," ")," "&amp;$CR$2438&amp;" "," ")," "&amp;$CR$2439&amp;" "," ")," "&amp;$CR$428&amp;" "," ")," "&amp;$CR$432&amp;" "," ")," "&amp;$CR$434&amp;" "," ")," "&amp;$CR$429&amp;" "," ")," "&amp;$CR$427&amp;" "," ")," "&amp;$CR$1367&amp;" "," ")," "&amp;$CR$435&amp;" "," ")," "&amp;$CR$1366&amp;" "," ")," "&amp;$CR$430&amp;" "," ")),"")</f>
        <v xml:space="preserve"> </v>
      </c>
      <c r="AM21" s="581" t="str">
        <f>IF(21=21,IF($U21="","",IF(AJ21&gt;0,"X",IF(AK21&gt;0,"?",""))),"")</f>
        <v/>
      </c>
      <c r="AN21" s="581">
        <f>IF(21=21,IF($U21="","",SUMPRODUCT(--ISNUMBER(SEARCH(" "&amp;$CR$436:$CR$535&amp;" ",$AX21)))),"")</f>
        <v>0</v>
      </c>
      <c r="AO21" s="581">
        <f>IF(21=21,IF($U21="","",SUMPRODUCT(--ISNUMBER(SEARCH(" "&amp;$CR$536:$CR$635&amp;" ",$AX21)))),"")</f>
        <v>0</v>
      </c>
      <c r="AP21" s="581">
        <f>IF(21=21,IF($U21="","",SUMPRODUCT(--ISNUMBER(SEARCH(" "&amp;$CR$636:$CR$735&amp;" ",$AX21)))),"")</f>
        <v>0</v>
      </c>
      <c r="AQ21" s="581">
        <f>IF(21=21,IF($U21="","",SUMPRODUCT(--ISNUMBER(SEARCH(" "&amp;$CR$736:$CR$835&amp;" ",$AX21)))),"")</f>
        <v>0</v>
      </c>
      <c r="AR21" s="581">
        <f>IF(21=21,IF($U21="","",SUMPRODUCT(--ISNUMBER(SEARCH(" "&amp;$CR$836:$CR$935&amp;" ",$AX21)))),"")</f>
        <v>0</v>
      </c>
      <c r="AS21" s="581">
        <f>IF(21=21,IF($U21="","",SUMPRODUCT(--ISNUMBER(SEARCH(" "&amp;$CR$936:$CR$1035&amp;" ",$AX21)))),"")</f>
        <v>0</v>
      </c>
      <c r="AT21" s="581">
        <f>IF(21=21,IF($U21="","",SUMPRODUCT(--ISNUMBER(SEARCH(" "&amp;$CR$1036:$CR$1135&amp;" ",$AX21)))),"")</f>
        <v>0</v>
      </c>
      <c r="AU21" s="581">
        <f>IF(21=21,IF($U21="","",SUMPRODUCT(--ISNUMBER(SEARCH(" "&amp;$CR$1136:$CR$1235&amp;" ",$AX21)))),"")</f>
        <v>0</v>
      </c>
      <c r="AV21" s="581">
        <f>IF(21=21,IF($U21="","",SUMPRODUCT(--ISNUMBER(SEARCH(" "&amp;$CR$1236:$CR$1335&amp;" ",$AX21)))),"")</f>
        <v>0</v>
      </c>
      <c r="AW21" s="581">
        <f>IF(21=21,IF($U21="","",SUMPRODUCT(--ISNUMBER(SEARCH(" "&amp;$CR$1336:$CR$1363&amp;" ",$AX21)))),"")</f>
        <v>0</v>
      </c>
      <c r="AX21" s="581" t="str">
        <f>IF(21=21,IF($U21="","",SUBSTITUTE(SUBSTITUTE(SUBSTITUTE(SUBSTITUTE(SUBSTITUTE(SUBSTITUTE(SUBSTITUTE(SUBSTITUTE(SUBSTITUTE($AA21," "&amp;$CR$1365&amp;" "," ")," "&amp;$CR$1364&amp;" "," ")," "&amp;$CR$1370&amp;" "," ")," "&amp;$CR$1371&amp;" "," ")," "&amp;$CR$1367&amp;" "," ")," "&amp;$CR$1369&amp;" "," ")," "&amp;$CR$1366&amp;" "," ")," "&amp;$CR$1368&amp;" "," ")," "&amp;$CR$1372&amp;" "," ")),"")</f>
        <v xml:space="preserve"> vinaigre de vin </v>
      </c>
      <c r="AY21" s="581">
        <f>IF(21=21,IF($U21="","",SUMPRODUCT(--ISNUMBER(SEARCH(" "&amp;$CR$1373:$CR$1383&amp;" ",$AX21)))),"")</f>
        <v>0</v>
      </c>
      <c r="AZ21" s="581" t="str">
        <f>IF(21=21,IF($U21="","",IF(SUM(AN21:AW21)+SUMPRODUCT(--ISNUMBER(SEARCH(" "&amp;$CR$2421:$CR$2422&amp;" ",$AX21)))&gt;0,"X",IF(AY21&gt;0,"?",""))),"")</f>
        <v/>
      </c>
      <c r="BA21" s="581">
        <f>IF(21=21,IF($U21="","",SUMPRODUCT(--ISNUMBER(SEARCH(" "&amp;$CR$1384:$CR$1404&amp;" ",$AA21)))),"")</f>
        <v>0</v>
      </c>
      <c r="BB21" s="581" t="str">
        <f>IF(21=21,IF($U21="","",IF((BA21)-(0)&gt;0,"X",IF((0)-(0)&gt;0,"?",""))),"")</f>
        <v/>
      </c>
      <c r="BC21" s="581">
        <f>IF(21=21,IF($U21="","",SUMPRODUCT(--ISNUMBER(SEARCH(" "&amp;$CR$1405:$CR$1442&amp;" ",$BD21)))),"")</f>
        <v>0</v>
      </c>
      <c r="BD21" s="581" t="str">
        <f>IF(21=21,IF($U21="","",SUBSTITUTE(SUBSTITUTE($AA21," "&amp;$CR$1443&amp;" "," ")," "&amp;$CR$1444&amp;" "," ")),"")</f>
        <v xml:space="preserve"> vinaigre de vin </v>
      </c>
      <c r="BE21" s="581">
        <f>IF(21=21,IF($U21="","",SUMPRODUCT(--ISNUMBER(SEARCH(" "&amp;$CR$1445:$CR$1455&amp;" ",$BD21)))),"")</f>
        <v>0</v>
      </c>
      <c r="BF21" s="581" t="str">
        <f>IF(21=21,IF($U21="","",IF(BC21&gt;0,"X",IF(BE21&gt;0,"?",""))),"")</f>
        <v/>
      </c>
      <c r="BG21" s="581">
        <f>IF(21=21,IF($U21="","",SUMPRODUCT(--ISNUMBER(SEARCH(" "&amp;$CR$1456:$CR$1555&amp;" ",$BJ21)))),"")</f>
        <v>0</v>
      </c>
      <c r="BH21" s="581">
        <f>IF(21=21,IF($U21="","",SUMPRODUCT(--ISNUMBER(SEARCH(" "&amp;$CR$1556:$CR$1655&amp;" ",$BJ21)))),"")</f>
        <v>0</v>
      </c>
      <c r="BI21" s="581">
        <f>IF(21=21,IF($U21="","",SUMPRODUCT(--ISNUMBER(SEARCH(" "&amp;$CR$1656:$CR$1739&amp;" ",$BJ21)))),"")</f>
        <v>0</v>
      </c>
      <c r="BJ21" s="581"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vinaigre de vin </v>
      </c>
      <c r="BK21" s="581">
        <f>IF(21=21,IF($U21="","",SUMPRODUCT(--ISNUMBER(SEARCH(" "&amp;$CR$1790:$CR$1869&amp;" ",$BL21)))+SUMPRODUCT(--ISNUMBER(SEARCH(" "&amp;$CR$2440:$CR$2453&amp;" ",$BL21)))),"")</f>
        <v>0</v>
      </c>
      <c r="BL21" s="581"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v>
      </c>
      <c r="BM21" s="581" t="str">
        <f>IF(21=21,IF($U21="","",IF(SUM(BG21:BI21)+SUMPRODUCT(--ISNUMBER(SEARCH(" "&amp;$CR$2423:$CR$2424&amp;" ",$BJ21)))&gt;0,"X",IF(BK21&gt;0,"?",""))),"")</f>
        <v/>
      </c>
      <c r="BN21" s="581">
        <f>IF(21=21,IF($U21="","",SUMPRODUCT(--ISNUMBER(SEARCH(" "&amp;$CR$1879:$CR$1936&amp;" ",$BO21)))),"")</f>
        <v>0</v>
      </c>
      <c r="BO21" s="581"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vinaigre de vin </v>
      </c>
      <c r="BP21" s="581">
        <f>IF(21=21,IF($U21="","",SUMPRODUCT(--ISNUMBER(SEARCH(" "&amp;$CR$1960:$CR$1976&amp;" ",$BO21)))),"")</f>
        <v>0</v>
      </c>
      <c r="BQ21" s="581" t="str">
        <f>IF(21=21,IF($U21="","",IF(BN21&gt;0,"X",IF(BP21&gt;0,"?",""))),"")</f>
        <v/>
      </c>
      <c r="BR21" s="581">
        <f>IF(21=21,IF($U21="","",SUMPRODUCT(--ISNUMBER(SEARCH(" "&amp;$CR$1977:$CR$1990&amp;" ",$AA21)))),"")</f>
        <v>0</v>
      </c>
      <c r="BS21" s="581">
        <f>IF(21=21,IF($U21="","",SUMPRODUCT(--ISNUMBER(SEARCH(" "&amp;$CR$1991:$CR$2005&amp;" ",$AA21)))),"")</f>
        <v>0</v>
      </c>
      <c r="BT21" s="581" t="str">
        <f>IF(21=21,IF($U21="","",IF((BR21)-(0)&gt;0,"X",IF((BS21)-(0)&gt;0,"?",""))),"")</f>
        <v/>
      </c>
      <c r="BU21" s="581">
        <f>IF(21=21,IF($U21="","",SUMPRODUCT(--ISNUMBER(SEARCH(" "&amp;$CR$2006:$CR$2023&amp;" ",$AA21)))),"")</f>
        <v>0</v>
      </c>
      <c r="BV21" s="581">
        <f>IF(21=21,IF($U21="","",SUMPRODUCT(--ISNUMBER(SEARCH(" "&amp;$CR$2024:$CR$2038&amp;" ",$AA21)))),"")</f>
        <v>0</v>
      </c>
      <c r="BW21" s="581" t="str">
        <f>IF(21=21,IF($U21="","",IF((BU21)-(0)&gt;0,"X",IF((BV21)-(0)&gt;0,"?",""))),"")</f>
        <v/>
      </c>
      <c r="BX21" s="581">
        <f>IF(21=21,IF($U21="","",SUMPRODUCT(--ISNUMBER(SEARCH(" "&amp;$CR$2039:$CR$2057&amp;" ",$AA21)))),"")</f>
        <v>0</v>
      </c>
      <c r="BY21" s="581">
        <f>IF(21=21,IF($U21="","",SUMPRODUCT(--ISNUMBER(SEARCH(" "&amp;$CR$2058:$CR$2072&amp;" ",$AA21)))),"")</f>
        <v>0</v>
      </c>
      <c r="BZ21" s="581" t="str">
        <f>IF(21=21,IF($U21="","",IF((BX21)-(0)&gt;0,"X",IF((BY21)-(0)&gt;0,"?",""))),"")</f>
        <v/>
      </c>
      <c r="CA21" s="581">
        <f>IF(21=21,IF($U21="","",SUMPRODUCT(--ISNUMBER(SEARCH(" "&amp;$CR$2073:$CR$2093&amp;" ",$AA21)))),"")</f>
        <v>0</v>
      </c>
      <c r="CB21" s="581">
        <f>IF(21=21,IF($U21="","",SUMPRODUCT(--ISNUMBER(SEARCH(" "&amp;$CR$2094:$CR$2133&amp;" ",SUBSTITUTE(SUBSTITUTE($AA21," "&amp;$CR$1367&amp;" "," ")," "&amp;$CR$1366&amp;" "," "))))+--ISNUMBER(SEARCH("poiré",$V21))),"")</f>
        <v>2</v>
      </c>
      <c r="CC21" s="581" t="str">
        <f>IF(21=21,IF($U21="","",IF(OR(CA21&gt;0,ISNUMBER(SEARCH(" vinaigre de vin ",$AA21)),ISNUMBER(SEARCH(" vinaigre au vin ",$AA21))),"X",IF(CB21&gt;0,"?",""))),"")</f>
        <v>X</v>
      </c>
      <c r="CD21" s="581">
        <f>IF(21=21,IF($U21="","",SUMPRODUCT(--ISNUMBER(SEARCH(" "&amp;$CR$2134:$CR$2146&amp;" ",$AA21)))),"")</f>
        <v>0</v>
      </c>
      <c r="CE21" s="581">
        <f>IF(21=21,IF($U21="","",SUMPRODUCT(--ISNUMBER(SEARCH(" "&amp;$CR$2147:$CR$2152&amp;" ",$AA21)))),"")</f>
        <v>0</v>
      </c>
      <c r="CF21" s="581" t="str">
        <f>IF(21=21,IF($U21="","",IF((CD21)-(0)&gt;0,"X",IF((CE21)-(0)&gt;0,"?",""))),"")</f>
        <v/>
      </c>
      <c r="CG21" s="581">
        <f>IF(21=21,IF($U21="","",SUMPRODUCT(--ISNUMBER(SEARCH(" "&amp;$CR$2153:$CR$2252&amp;" ",$CJ21)))),"")</f>
        <v>0</v>
      </c>
      <c r="CH21" s="581">
        <f>IF(21=21,IF($U21="","",SUMPRODUCT(--ISNUMBER(SEARCH(" "&amp;$CR$2253:$CR$2352&amp;" ",$CJ21)))),"")</f>
        <v>0</v>
      </c>
      <c r="CI21" s="581">
        <f>IF(21=21,IF($U21="","",SUMPRODUCT(--ISNUMBER(SEARCH(" "&amp;$CR$2353:$CR$2395&amp;" ",$CJ21)))),"")</f>
        <v>0</v>
      </c>
      <c r="CJ21" s="581"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vinaigre de vin </v>
      </c>
      <c r="CK21" s="581">
        <f>IF(21=21,IF($U21="","",SUMPRODUCT(--ISNUMBER(SEARCH(" "&amp;$CR$2412:$CR$2416&amp;" ",$CJ21)))),"")</f>
        <v>0</v>
      </c>
      <c r="CL21" s="581" t="str">
        <f>IF(21=21,IF($U21="","",IF(SUM(CG21:CI21)&gt;0,"X",IF(CK21&gt;0,"?",""))),"")</f>
        <v/>
      </c>
      <c r="CM21" s="582"/>
      <c r="CN21" s="584" t="s">
        <v>2028</v>
      </c>
      <c r="CO21" s="584" t="s">
        <v>1887</v>
      </c>
      <c r="CP21" s="584" t="s">
        <v>1888</v>
      </c>
      <c r="CQ21" s="584" t="s">
        <v>2029</v>
      </c>
      <c r="CR21" s="584" t="s">
        <v>2029</v>
      </c>
      <c r="CS21" s="584" t="s">
        <v>1890</v>
      </c>
      <c r="CT21" s="584" t="s">
        <v>1891</v>
      </c>
      <c r="CU21" s="584" t="s">
        <v>1892</v>
      </c>
      <c r="CV21" s="585" t="s">
        <v>1893</v>
      </c>
    </row>
    <row r="22" spans="1:100" ht="21.95" customHeight="1" x14ac:dyDescent="0.25">
      <c r="A22" s="597">
        <v>16</v>
      </c>
      <c r="B22" s="598" t="s">
        <v>2030</v>
      </c>
      <c r="C22" s="599" t="str">
        <f t="shared" si="0"/>
        <v>Crème fraîche *</v>
      </c>
      <c r="D22" s="600"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601" t="str">
        <f>IF(22=22,IF($B22="","",AF22),"")</f>
        <v/>
      </c>
      <c r="F22" s="601" t="str">
        <f>IF(22=22,IF($B22="","",AI22),"")</f>
        <v/>
      </c>
      <c r="G22" s="601" t="str">
        <f>IF(22=22,IF($B22="","",AM22),"")</f>
        <v/>
      </c>
      <c r="H22" s="601" t="str">
        <f>IF(22=22,IF($B22="","",AZ22),"")</f>
        <v/>
      </c>
      <c r="I22" s="601" t="str">
        <f>IF(22=22,IF($B22="","",BB22),"")</f>
        <v/>
      </c>
      <c r="J22" s="601" t="str">
        <f>IF(22=22,IF($B22="","",BF22),"")</f>
        <v/>
      </c>
      <c r="K22" s="601" t="str">
        <f>IF(22=22,IF($B22="","",BM22),"")</f>
        <v>X</v>
      </c>
      <c r="L22" s="601" t="str">
        <f>IF(22=22,IF($B22="","",BQ22),"")</f>
        <v/>
      </c>
      <c r="M22" s="601" t="str">
        <f>IF(22=22,IF($B22="","",BT22),"")</f>
        <v/>
      </c>
      <c r="N22" s="601" t="str">
        <f>IF(22=22,IF($B22="","",BW22),"")</f>
        <v/>
      </c>
      <c r="O22" s="601" t="str">
        <f>IF(22=22,IF($B22="","",BZ22),"")</f>
        <v/>
      </c>
      <c r="P22" s="601" t="str">
        <f>IF(22=22,IF($B22="","",CC22),"")</f>
        <v/>
      </c>
      <c r="Q22" s="601" t="str">
        <f>IF(22=22,IF($B22="","",CF22),"")</f>
        <v/>
      </c>
      <c r="R22" s="601" t="str">
        <f>IF(22=22,IF($B22="","",CL22),"")</f>
        <v/>
      </c>
      <c r="S22" s="602"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581" t="str">
        <f>IF(22=22,IF($B22="","",$B22),"")</f>
        <v>Crème fraîche</v>
      </c>
      <c r="V22" s="581" t="str">
        <f>IF(22=22,LOWER(CLEAN(SUBSTITUTE(SUBSTITUTE(SUBSTITUTE(SUBSTITUTE($U22,CHAR(160)," ")," "," "),CHAR(10)," "),CHAR(13)," "))),"")</f>
        <v>crème fraîche</v>
      </c>
      <c r="W22" s="581" t="str">
        <f>IF(22=22,SUBSTITUTE(SUBSTITUTE(SUBSTITUTE(SUBSTITUTE(SUBSTITUTE(SUBSTITUTE(SUBSTITUTE(SUBSTITUTE(SUBSTITUTE(SUBSTITUTE(SUBSTITUTE(SUBSTITUTE($V22,"œ","oe"),"æ","ae"),"à","a"),"á","a"),"â","a"),"ä","a"),"ã","a"),"ç","c"),"è","e"),"é","e"),"ê","e"),"ë","e"),"")</f>
        <v>creme fraîche</v>
      </c>
      <c r="X22" s="581" t="str">
        <f>IF(22=22,SUBSTITUTE(SUBSTITUTE(SUBSTITUTE(SUBSTITUTE(SUBSTITUTE(SUBSTITUTE(SUBSTITUTE(SUBSTITUTE(SUBSTITUTE(SUBSTITUTE(SUBSTITUTE(SUBSTITUTE(SUBSTITUTE(SUBSTITUTE(SUBSTITUTE(SUBSTITUTE($W22,"ì","i"),"í","i"),"î","i"),"ï","i"),"ñ","n"),"ò","o"),"ó","o"),"ô","o"),"ö","o"),"õ","o"),"ù","u"),"ú","u"),"û","u"),"ü","u"),"ý","y"),"ÿ","y"),"")</f>
        <v>creme fraiche</v>
      </c>
      <c r="Y22" s="581" t="str">
        <f>IF(22=22,SUBSTITUTE(SUBSTITUTE(SUBSTITUTE(SUBSTITUTE(SUBSTITUTE(SUBSTITUTE(SUBSTITUTE(SUBSTITUTE(SUBSTITUTE(SUBSTITUTE(SUBSTITUTE(SUBSTITUTE(SUBSTITUTE(SUBSTITUTE($X22,"’"," "),"`"," "),"–"," "),"—"," "),"-"," "),"'"," "),"/"," "),"_"," "),","," "),"."," "),"("," "),")"," "),";"," "),":"," "),"")</f>
        <v>creme fraiche</v>
      </c>
      <c r="Z22" s="581" t="str">
        <f>IF(22=22,SUBSTITUTE(SUBSTITUTE(SUBSTITUTE(SUBSTITUTE(SUBSTITUTE(SUBSTITUTE(SUBSTITUTE(SUBSTITUTE(SUBSTITUTE(SUBSTITUTE(SUBSTITUTE(SUBSTITUTE(SUBSTITUTE(SUBSTITUTE(SUBSTITUTE($Y22,"!"," "),"?"," "),"+"," "),"*"," "),"&amp;"," "),"["," "),"]"," "),"{"," "),"}"," "),"%"," "),"="," "),"\"," "),"|"," "),"&lt;"," "),"&gt;"," "),"")</f>
        <v>creme fraiche</v>
      </c>
      <c r="AA22" s="581" t="str">
        <f>IF(22=22," "&amp;TRIM(SUBSTITUTE(SUBSTITUTE(SUBSTITUTE(SUBSTITUTE(SUBSTITUTE(SUBSTITUTE($Z22,CHAR(34)," "),"  "," "),"  "," "),"  "," "),"  "," "),"  "," "))&amp;" ","")</f>
        <v xml:space="preserve"> creme fraiche </v>
      </c>
      <c r="AB22" s="581">
        <f>IF(22=22,IF($U22="","",SUMPRODUCT(--ISNUMBER(SEARCH(" "&amp;$CR$2:$CR$101&amp;" ",$AD22)))),"")</f>
        <v>0</v>
      </c>
      <c r="AC22" s="581">
        <f>IF(22=22,IF($U22="","",SUMPRODUCT(--ISNUMBER(SEARCH(" "&amp;$CR$102:$CR$151&amp;" ",$AD22)))),"")</f>
        <v>0</v>
      </c>
      <c r="AD22" s="581" t="e">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2" s="581">
        <f>IF(22=22,IF($U22="","",SUMPRODUCT(--ISNUMBER(SEARCH(" "&amp;$CR$184:$CR$205&amp;" ",$AD22)))),"")</f>
        <v>0</v>
      </c>
      <c r="AF22" s="581" t="str">
        <f>IF(22=22,IF($U22="","",IF(SUM(AB22:AC22)+SUMPRODUCT(--ISNUMBER(SEARCH(" "&amp;$CR$2418:$CR$2420&amp;" ",$AD22)))&gt;0,"X",IF(AE22&gt;0,"?",""))),"")</f>
        <v/>
      </c>
      <c r="AG22" s="581">
        <f>IF(22=22,IF($U22="","",SUMPRODUCT(--ISNUMBER(SEARCH(" "&amp;$CR$206:$CR$305&amp;" ",$AA22)))),"")</f>
        <v>0</v>
      </c>
      <c r="AH22" s="581">
        <f>IF(22=22,IF($U22="","",SUMPRODUCT(--ISNUMBER(SEARCH(" "&amp;$CR$306:$CR$340&amp;" ",$AA22)))),"")</f>
        <v>0</v>
      </c>
      <c r="AI22" s="581" t="str">
        <f>IF(22=22,IF($U22="","",IF((SUM(AG22:AH22))-(0)&gt;0,"X",IF((0)-(0)&gt;0,"?",""))),"")</f>
        <v/>
      </c>
      <c r="AJ22" s="581">
        <f>IF(22=22,IF($U22="","",SUMPRODUCT(--ISNUMBER(SEARCH(" "&amp;$CR$341:$CR$398&amp;" ",$AA22)))),"")</f>
        <v>0</v>
      </c>
      <c r="AK22" s="581">
        <f>IF(22=22,IF($U22="","",SUMPRODUCT(--ISNUMBER(SEARCH(" "&amp;$CR$399:$CR$426&amp;" ",$AL22)))+SUMPRODUCT(--ISNUMBER(SEARCH(" "&amp;$CR$2440:$CR$2453&amp;" ",$AL22)))),"")</f>
        <v>0</v>
      </c>
      <c r="AL22" s="581" t="str">
        <f>IF(22=22,IF($U22="","",SUBSTITUTE(SUBSTITUTE(SUBSTITUTE(SUBSTITUTE(SUBSTITUTE(SUBSTITUTE(SUBSTITUTE(SUBSTITUTE(SUBSTITUTE(SUBSTITUTE(SUBSTITUTE(SUBSTITUTE(SUBSTITUTE($AA22," "&amp;$CR$433&amp;" "," ")," "&amp;$CR$431&amp;" "," ")," "&amp;$CR$2438&amp;" "," ")," "&amp;$CR$2439&amp;" "," ")," "&amp;$CR$428&amp;" "," ")," "&amp;$CR$432&amp;" "," ")," "&amp;$CR$434&amp;" "," ")," "&amp;$CR$429&amp;" "," ")," "&amp;$CR$427&amp;" "," ")," "&amp;$CR$1367&amp;" "," ")," "&amp;$CR$435&amp;" "," ")," "&amp;$CR$1366&amp;" "," ")," "&amp;$CR$430&amp;" "," ")),"")</f>
        <v xml:space="preserve"> creme fraiche </v>
      </c>
      <c r="AM22" s="581" t="str">
        <f>IF(22=22,IF($U22="","",IF(AJ22&gt;0,"X",IF(AK22&gt;0,"?",""))),"")</f>
        <v/>
      </c>
      <c r="AN22" s="581">
        <f>IF(22=22,IF($U22="","",SUMPRODUCT(--ISNUMBER(SEARCH(" "&amp;$CR$436:$CR$535&amp;" ",$AX22)))),"")</f>
        <v>0</v>
      </c>
      <c r="AO22" s="581">
        <f>IF(22=22,IF($U22="","",SUMPRODUCT(--ISNUMBER(SEARCH(" "&amp;$CR$536:$CR$635&amp;" ",$AX22)))),"")</f>
        <v>0</v>
      </c>
      <c r="AP22" s="581">
        <f>IF(22=22,IF($U22="","",SUMPRODUCT(--ISNUMBER(SEARCH(" "&amp;$CR$636:$CR$735&amp;" ",$AX22)))),"")</f>
        <v>0</v>
      </c>
      <c r="AQ22" s="581">
        <f>IF(22=22,IF($U22="","",SUMPRODUCT(--ISNUMBER(SEARCH(" "&amp;$CR$736:$CR$835&amp;" ",$AX22)))),"")</f>
        <v>0</v>
      </c>
      <c r="AR22" s="581">
        <f>IF(22=22,IF($U22="","",SUMPRODUCT(--ISNUMBER(SEARCH(" "&amp;$CR$836:$CR$935&amp;" ",$AX22)))),"")</f>
        <v>0</v>
      </c>
      <c r="AS22" s="581">
        <f>IF(22=22,IF($U22="","",SUMPRODUCT(--ISNUMBER(SEARCH(" "&amp;$CR$936:$CR$1035&amp;" ",$AX22)))),"")</f>
        <v>0</v>
      </c>
      <c r="AT22" s="581">
        <f>IF(22=22,IF($U22="","",SUMPRODUCT(--ISNUMBER(SEARCH(" "&amp;$CR$1036:$CR$1135&amp;" ",$AX22)))),"")</f>
        <v>0</v>
      </c>
      <c r="AU22" s="581">
        <f>IF(22=22,IF($U22="","",SUMPRODUCT(--ISNUMBER(SEARCH(" "&amp;$CR$1136:$CR$1235&amp;" ",$AX22)))),"")</f>
        <v>0</v>
      </c>
      <c r="AV22" s="581">
        <f>IF(22=22,IF($U22="","",SUMPRODUCT(--ISNUMBER(SEARCH(" "&amp;$CR$1236:$CR$1335&amp;" ",$AX22)))),"")</f>
        <v>0</v>
      </c>
      <c r="AW22" s="581">
        <f>IF(22=22,IF($U22="","",SUMPRODUCT(--ISNUMBER(SEARCH(" "&amp;$CR$1336:$CR$1363&amp;" ",$AX22)))),"")</f>
        <v>0</v>
      </c>
      <c r="AX22" s="581"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v>
      </c>
      <c r="AY22" s="581">
        <f>IF(22=22,IF($U22="","",SUMPRODUCT(--ISNUMBER(SEARCH(" "&amp;$CR$1373:$CR$1383&amp;" ",$AX22)))),"")</f>
        <v>0</v>
      </c>
      <c r="AZ22" s="581" t="str">
        <f>IF(22=22,IF($U22="","",IF(SUM(AN22:AW22)+SUMPRODUCT(--ISNUMBER(SEARCH(" "&amp;$CR$2421:$CR$2422&amp;" ",$AX22)))&gt;0,"X",IF(AY22&gt;0,"?",""))),"")</f>
        <v/>
      </c>
      <c r="BA22" s="581">
        <f>IF(22=22,IF($U22="","",SUMPRODUCT(--ISNUMBER(SEARCH(" "&amp;$CR$1384:$CR$1404&amp;" ",$AA22)))),"")</f>
        <v>0</v>
      </c>
      <c r="BB22" s="581" t="str">
        <f>IF(22=22,IF($U22="","",IF((BA22)-(0)&gt;0,"X",IF((0)-(0)&gt;0,"?",""))),"")</f>
        <v/>
      </c>
      <c r="BC22" s="581">
        <f>IF(22=22,IF($U22="","",SUMPRODUCT(--ISNUMBER(SEARCH(" "&amp;$CR$1405:$CR$1442&amp;" ",$BD22)))),"")</f>
        <v>0</v>
      </c>
      <c r="BD22" s="581" t="str">
        <f>IF(22=22,IF($U22="","",SUBSTITUTE(SUBSTITUTE($AA22," "&amp;$CR$1443&amp;" "," ")," "&amp;$CR$1444&amp;" "," ")),"")</f>
        <v xml:space="preserve"> creme fraiche </v>
      </c>
      <c r="BE22" s="581">
        <f>IF(22=22,IF($U22="","",SUMPRODUCT(--ISNUMBER(SEARCH(" "&amp;$CR$1445:$CR$1455&amp;" ",$BD22)))),"")</f>
        <v>0</v>
      </c>
      <c r="BF22" s="581" t="str">
        <f>IF(22=22,IF($U22="","",IF(BC22&gt;0,"X",IF(BE22&gt;0,"?",""))),"")</f>
        <v/>
      </c>
      <c r="BG22" s="581">
        <f>IF(22=22,IF($U22="","",SUMPRODUCT(--ISNUMBER(SEARCH(" "&amp;$CR$1456:$CR$1555&amp;" ",$BJ22)))),"")</f>
        <v>2</v>
      </c>
      <c r="BH22" s="581">
        <f>IF(22=22,IF($U22="","",SUMPRODUCT(--ISNUMBER(SEARCH(" "&amp;$CR$1556:$CR$1655&amp;" ",$BJ22)))),"")</f>
        <v>0</v>
      </c>
      <c r="BI22" s="581">
        <f>IF(22=22,IF($U22="","",SUMPRODUCT(--ISNUMBER(SEARCH(" "&amp;$CR$1656:$CR$1739&amp;" ",$BJ22)))),"")</f>
        <v>0</v>
      </c>
      <c r="BJ22" s="581"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2" s="581">
        <f>IF(22=22,IF($U22="","",SUMPRODUCT(--ISNUMBER(SEARCH(" "&amp;$CR$1790:$CR$1869&amp;" ",$BL22)))+SUMPRODUCT(--ISNUMBER(SEARCH(" "&amp;$CR$2440:$CR$2453&amp;" ",$BL22)))),"")</f>
        <v>0</v>
      </c>
      <c r="BL22" s="581"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v>
      </c>
      <c r="BM22" s="581" t="str">
        <f>IF(22=22,IF($U22="","",IF(SUM(BG22:BI22)+SUMPRODUCT(--ISNUMBER(SEARCH(" "&amp;$CR$2423:$CR$2424&amp;" ",$BJ22)))&gt;0,"X",IF(BK22&gt;0,"?",""))),"")</f>
        <v>X</v>
      </c>
      <c r="BN22" s="581">
        <f>IF(22=22,IF($U22="","",SUMPRODUCT(--ISNUMBER(SEARCH(" "&amp;$CR$1879:$CR$1936&amp;" ",$BO22)))),"")</f>
        <v>0</v>
      </c>
      <c r="BO22" s="581"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2" s="581">
        <f>IF(22=22,IF($U22="","",SUMPRODUCT(--ISNUMBER(SEARCH(" "&amp;$CR$1960:$CR$1976&amp;" ",$BO22)))),"")</f>
        <v>0</v>
      </c>
      <c r="BQ22" s="581" t="str">
        <f>IF(22=22,IF($U22="","",IF(BN22&gt;0,"X",IF(BP22&gt;0,"?",""))),"")</f>
        <v/>
      </c>
      <c r="BR22" s="581">
        <f>IF(22=22,IF($U22="","",SUMPRODUCT(--ISNUMBER(SEARCH(" "&amp;$CR$1977:$CR$1990&amp;" ",$AA22)))),"")</f>
        <v>0</v>
      </c>
      <c r="BS22" s="581">
        <f>IF(22=22,IF($U22="","",SUMPRODUCT(--ISNUMBER(SEARCH(" "&amp;$CR$1991:$CR$2005&amp;" ",$AA22)))),"")</f>
        <v>0</v>
      </c>
      <c r="BT22" s="581" t="str">
        <f>IF(22=22,IF($U22="","",IF((BR22)-(0)&gt;0,"X",IF((BS22)-(0)&gt;0,"?",""))),"")</f>
        <v/>
      </c>
      <c r="BU22" s="581">
        <f>IF(22=22,IF($U22="","",SUMPRODUCT(--ISNUMBER(SEARCH(" "&amp;$CR$2006:$CR$2023&amp;" ",$AA22)))),"")</f>
        <v>0</v>
      </c>
      <c r="BV22" s="581">
        <f>IF(22=22,IF($U22="","",SUMPRODUCT(--ISNUMBER(SEARCH(" "&amp;$CR$2024:$CR$2038&amp;" ",$AA22)))),"")</f>
        <v>0</v>
      </c>
      <c r="BW22" s="581" t="str">
        <f>IF(22=22,IF($U22="","",IF((BU22)-(0)&gt;0,"X",IF((BV22)-(0)&gt;0,"?",""))),"")</f>
        <v/>
      </c>
      <c r="BX22" s="581">
        <f>IF(22=22,IF($U22="","",SUMPRODUCT(--ISNUMBER(SEARCH(" "&amp;$CR$2039:$CR$2057&amp;" ",$AA22)))),"")</f>
        <v>0</v>
      </c>
      <c r="BY22" s="581">
        <f>IF(22=22,IF($U22="","",SUMPRODUCT(--ISNUMBER(SEARCH(" "&amp;$CR$2058:$CR$2072&amp;" ",$AA22)))),"")</f>
        <v>0</v>
      </c>
      <c r="BZ22" s="581" t="str">
        <f>IF(22=22,IF($U22="","",IF((BX22)-(0)&gt;0,"X",IF((BY22)-(0)&gt;0,"?",""))),"")</f>
        <v/>
      </c>
      <c r="CA22" s="581">
        <f>IF(22=22,IF($U22="","",SUMPRODUCT(--ISNUMBER(SEARCH(" "&amp;$CR$2073:$CR$2093&amp;" ",$AA22)))),"")</f>
        <v>0</v>
      </c>
      <c r="CB22" s="581">
        <f>IF(22=22,IF($U22="","",SUMPRODUCT(--ISNUMBER(SEARCH(" "&amp;$CR$2094:$CR$2133&amp;" ",SUBSTITUTE(SUBSTITUTE($AA22," "&amp;$CR$1367&amp;" "," ")," "&amp;$CR$1366&amp;" "," "))))+--ISNUMBER(SEARCH("poiré",$V22))),"")</f>
        <v>0</v>
      </c>
      <c r="CC22" s="581" t="str">
        <f>IF(22=22,IF($U22="","",IF(OR(CA22&gt;0,ISNUMBER(SEARCH(" vinaigre de vin ",$AA22)),ISNUMBER(SEARCH(" vinaigre au vin ",$AA22))),"X",IF(CB22&gt;0,"?",""))),"")</f>
        <v/>
      </c>
      <c r="CD22" s="581">
        <f>IF(22=22,IF($U22="","",SUMPRODUCT(--ISNUMBER(SEARCH(" "&amp;$CR$2134:$CR$2146&amp;" ",$AA22)))),"")</f>
        <v>0</v>
      </c>
      <c r="CE22" s="581">
        <f>IF(22=22,IF($U22="","",SUMPRODUCT(--ISNUMBER(SEARCH(" "&amp;$CR$2147:$CR$2152&amp;" ",$AA22)))),"")</f>
        <v>0</v>
      </c>
      <c r="CF22" s="581" t="str">
        <f>IF(22=22,IF($U22="","",IF((CD22)-(0)&gt;0,"X",IF((CE22)-(0)&gt;0,"?",""))),"")</f>
        <v/>
      </c>
      <c r="CG22" s="581">
        <f>IF(22=22,IF($U22="","",SUMPRODUCT(--ISNUMBER(SEARCH(" "&amp;$CR$2153:$CR$2252&amp;" ",$CJ22)))),"")</f>
        <v>0</v>
      </c>
      <c r="CH22" s="581">
        <f>IF(22=22,IF($U22="","",SUMPRODUCT(--ISNUMBER(SEARCH(" "&amp;$CR$2253:$CR$2352&amp;" ",$CJ22)))),"")</f>
        <v>0</v>
      </c>
      <c r="CI22" s="581">
        <f>IF(22=22,IF($U22="","",SUMPRODUCT(--ISNUMBER(SEARCH(" "&amp;$CR$2353:$CR$2395&amp;" ",$CJ22)))),"")</f>
        <v>0</v>
      </c>
      <c r="CJ22" s="581"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2" s="581">
        <f>IF(22=22,IF($U22="","",SUMPRODUCT(--ISNUMBER(SEARCH(" "&amp;$CR$2412:$CR$2416&amp;" ",$CJ22)))),"")</f>
        <v>0</v>
      </c>
      <c r="CL22" s="581" t="str">
        <f>IF(22=22,IF($U22="","",IF(SUM(CG22:CI22)&gt;0,"X",IF(CK22&gt;0,"?",""))),"")</f>
        <v/>
      </c>
      <c r="CM22" s="582"/>
      <c r="CN22" s="584" t="s">
        <v>2031</v>
      </c>
      <c r="CO22" s="584" t="s">
        <v>1887</v>
      </c>
      <c r="CP22" s="584" t="s">
        <v>1888</v>
      </c>
      <c r="CQ22" s="584" t="s">
        <v>2032</v>
      </c>
      <c r="CR22" s="584" t="s">
        <v>2032</v>
      </c>
      <c r="CS22" s="584" t="s">
        <v>1890</v>
      </c>
      <c r="CT22" s="584" t="s">
        <v>1891</v>
      </c>
      <c r="CU22" s="584" t="s">
        <v>1892</v>
      </c>
      <c r="CV22" s="585" t="s">
        <v>1893</v>
      </c>
    </row>
    <row r="23" spans="1:100" ht="21.95" customHeight="1" x14ac:dyDescent="0.25">
      <c r="A23" s="597">
        <v>17</v>
      </c>
      <c r="B23" s="598" t="s">
        <v>2033</v>
      </c>
      <c r="C23" s="599" t="str">
        <f t="shared" si="0"/>
        <v>Sel</v>
      </c>
      <c r="D23" s="600"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
      </c>
      <c r="E23" s="601" t="str">
        <f>IF(23=23,IF($B23="","",AF23),"")</f>
        <v/>
      </c>
      <c r="F23" s="601" t="str">
        <f>IF(23=23,IF($B23="","",AI23),"")</f>
        <v/>
      </c>
      <c r="G23" s="601" t="str">
        <f>IF(23=23,IF($B23="","",AM23),"")</f>
        <v/>
      </c>
      <c r="H23" s="601" t="str">
        <f>IF(23=23,IF($B23="","",AZ23),"")</f>
        <v/>
      </c>
      <c r="I23" s="601" t="str">
        <f>IF(23=23,IF($B23="","",BB23),"")</f>
        <v/>
      </c>
      <c r="J23" s="601" t="str">
        <f>IF(23=23,IF($B23="","",BF23),"")</f>
        <v/>
      </c>
      <c r="K23" s="601" t="str">
        <f>IF(23=23,IF($B23="","",BM23),"")</f>
        <v/>
      </c>
      <c r="L23" s="601" t="str">
        <f>IF(23=23,IF($B23="","",BQ23),"")</f>
        <v/>
      </c>
      <c r="M23" s="601" t="str">
        <f>IF(23=23,IF($B23="","",BT23),"")</f>
        <v/>
      </c>
      <c r="N23" s="601" t="str">
        <f>IF(23=23,IF($B23="","",BW23),"")</f>
        <v/>
      </c>
      <c r="O23" s="601" t="str">
        <f>IF(23=23,IF($B23="","",BZ23),"")</f>
        <v/>
      </c>
      <c r="P23" s="601" t="str">
        <f>IF(23=23,IF($B23="","",CC23),"")</f>
        <v/>
      </c>
      <c r="Q23" s="601" t="str">
        <f>IF(23=23,IF($B23="","",CF23),"")</f>
        <v/>
      </c>
      <c r="R23" s="601" t="str">
        <f>IF(23=23,IF($B23="","",CL23),"")</f>
        <v/>
      </c>
      <c r="S23" s="602"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581" t="str">
        <f>IF(23=23,IF($B23="","",$B23),"")</f>
        <v>Sel</v>
      </c>
      <c r="V23" s="581" t="str">
        <f>IF(23=23,LOWER(CLEAN(SUBSTITUTE(SUBSTITUTE(SUBSTITUTE(SUBSTITUTE($U23,CHAR(160)," ")," "," "),CHAR(10)," "),CHAR(13)," "))),"")</f>
        <v>sel</v>
      </c>
      <c r="W23" s="581" t="str">
        <f>IF(23=23,SUBSTITUTE(SUBSTITUTE(SUBSTITUTE(SUBSTITUTE(SUBSTITUTE(SUBSTITUTE(SUBSTITUTE(SUBSTITUTE(SUBSTITUTE(SUBSTITUTE(SUBSTITUTE(SUBSTITUTE($V23,"œ","oe"),"æ","ae"),"à","a"),"á","a"),"â","a"),"ä","a"),"ã","a"),"ç","c"),"è","e"),"é","e"),"ê","e"),"ë","e"),"")</f>
        <v>sel</v>
      </c>
      <c r="X23" s="581" t="str">
        <f>IF(23=23,SUBSTITUTE(SUBSTITUTE(SUBSTITUTE(SUBSTITUTE(SUBSTITUTE(SUBSTITUTE(SUBSTITUTE(SUBSTITUTE(SUBSTITUTE(SUBSTITUTE(SUBSTITUTE(SUBSTITUTE(SUBSTITUTE(SUBSTITUTE(SUBSTITUTE(SUBSTITUTE($W23,"ì","i"),"í","i"),"î","i"),"ï","i"),"ñ","n"),"ò","o"),"ó","o"),"ô","o"),"ö","o"),"õ","o"),"ù","u"),"ú","u"),"û","u"),"ü","u"),"ý","y"),"ÿ","y"),"")</f>
        <v>sel</v>
      </c>
      <c r="Y23" s="581" t="str">
        <f>IF(23=23,SUBSTITUTE(SUBSTITUTE(SUBSTITUTE(SUBSTITUTE(SUBSTITUTE(SUBSTITUTE(SUBSTITUTE(SUBSTITUTE(SUBSTITUTE(SUBSTITUTE(SUBSTITUTE(SUBSTITUTE(SUBSTITUTE(SUBSTITUTE($X23,"’"," "),"`"," "),"–"," "),"—"," "),"-"," "),"'"," "),"/"," "),"_"," "),","," "),"."," "),"("," "),")"," "),";"," "),":"," "),"")</f>
        <v>sel</v>
      </c>
      <c r="Z23" s="581" t="str">
        <f>IF(23=23,SUBSTITUTE(SUBSTITUTE(SUBSTITUTE(SUBSTITUTE(SUBSTITUTE(SUBSTITUTE(SUBSTITUTE(SUBSTITUTE(SUBSTITUTE(SUBSTITUTE(SUBSTITUTE(SUBSTITUTE(SUBSTITUTE(SUBSTITUTE(SUBSTITUTE($Y23,"!"," "),"?"," "),"+"," "),"*"," "),"&amp;"," "),"["," "),"]"," "),"{"," "),"}"," "),"%"," "),"="," "),"\"," "),"|"," "),"&lt;"," "),"&gt;"," "),"")</f>
        <v>sel</v>
      </c>
      <c r="AA23" s="581" t="str">
        <f>IF(23=23," "&amp;TRIM(SUBSTITUTE(SUBSTITUTE(SUBSTITUTE(SUBSTITUTE(SUBSTITUTE(SUBSTITUTE($Z23,CHAR(34)," "),"  "," "),"  "," "),"  "," "),"  "," "),"  "," "))&amp;" ","")</f>
        <v xml:space="preserve"> sel </v>
      </c>
      <c r="AB23" s="581">
        <f>IF(23=23,IF($U23="","",SUMPRODUCT(--ISNUMBER(SEARCH(" "&amp;$CR$2:$CR$101&amp;" ",$AD23)))),"")</f>
        <v>0</v>
      </c>
      <c r="AC23" s="581">
        <f>IF(23=23,IF($U23="","",SUMPRODUCT(--ISNUMBER(SEARCH(" "&amp;$CR$102:$CR$151&amp;" ",$AD23)))),"")</f>
        <v>0</v>
      </c>
      <c r="AD23" s="581" t="e">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3" s="581">
        <f>IF(23=23,IF($U23="","",SUMPRODUCT(--ISNUMBER(SEARCH(" "&amp;$CR$184:$CR$205&amp;" ",$AD23)))),"")</f>
        <v>0</v>
      </c>
      <c r="AF23" s="581" t="str">
        <f>IF(23=23,IF($U23="","",IF(SUM(AB23:AC23)+SUMPRODUCT(--ISNUMBER(SEARCH(" "&amp;$CR$2418:$CR$2420&amp;" ",$AD23)))&gt;0,"X",IF(AE23&gt;0,"?",""))),"")</f>
        <v/>
      </c>
      <c r="AG23" s="581">
        <f>IF(23=23,IF($U23="","",SUMPRODUCT(--ISNUMBER(SEARCH(" "&amp;$CR$206:$CR$305&amp;" ",$AA23)))),"")</f>
        <v>0</v>
      </c>
      <c r="AH23" s="581">
        <f>IF(23=23,IF($U23="","",SUMPRODUCT(--ISNUMBER(SEARCH(" "&amp;$CR$306:$CR$340&amp;" ",$AA23)))),"")</f>
        <v>0</v>
      </c>
      <c r="AI23" s="581" t="str">
        <f>IF(23=23,IF($U23="","",IF((SUM(AG23:AH23))-(0)&gt;0,"X",IF((0)-(0)&gt;0,"?",""))),"")</f>
        <v/>
      </c>
      <c r="AJ23" s="581">
        <f>IF(23=23,IF($U23="","",SUMPRODUCT(--ISNUMBER(SEARCH(" "&amp;$CR$341:$CR$398&amp;" ",$AA23)))),"")</f>
        <v>0</v>
      </c>
      <c r="AK23" s="581">
        <f>IF(23=23,IF($U23="","",SUMPRODUCT(--ISNUMBER(SEARCH(" "&amp;$CR$399:$CR$426&amp;" ",$AL23)))+SUMPRODUCT(--ISNUMBER(SEARCH(" "&amp;$CR$2440:$CR$2453&amp;" ",$AL23)))),"")</f>
        <v>0</v>
      </c>
      <c r="AL23" s="581" t="str">
        <f>IF(23=23,IF($U23="","",SUBSTITUTE(SUBSTITUTE(SUBSTITUTE(SUBSTITUTE(SUBSTITUTE(SUBSTITUTE(SUBSTITUTE(SUBSTITUTE(SUBSTITUTE(SUBSTITUTE(SUBSTITUTE(SUBSTITUTE(SUBSTITUTE($AA23," "&amp;$CR$433&amp;" "," ")," "&amp;$CR$431&amp;" "," ")," "&amp;$CR$2438&amp;" "," ")," "&amp;$CR$2439&amp;" "," ")," "&amp;$CR$428&amp;" "," ")," "&amp;$CR$432&amp;" "," ")," "&amp;$CR$434&amp;" "," ")," "&amp;$CR$429&amp;" "," ")," "&amp;$CR$427&amp;" "," ")," "&amp;$CR$1367&amp;" "," ")," "&amp;$CR$435&amp;" "," ")," "&amp;$CR$1366&amp;" "," ")," "&amp;$CR$430&amp;" "," ")),"")</f>
        <v xml:space="preserve"> sel </v>
      </c>
      <c r="AM23" s="581" t="str">
        <f>IF(23=23,IF($U23="","",IF(AJ23&gt;0,"X",IF(AK23&gt;0,"?",""))),"")</f>
        <v/>
      </c>
      <c r="AN23" s="581">
        <f>IF(23=23,IF($U23="","",SUMPRODUCT(--ISNUMBER(SEARCH(" "&amp;$CR$436:$CR$535&amp;" ",$AX23)))),"")</f>
        <v>0</v>
      </c>
      <c r="AO23" s="581">
        <f>IF(23=23,IF($U23="","",SUMPRODUCT(--ISNUMBER(SEARCH(" "&amp;$CR$536:$CR$635&amp;" ",$AX23)))),"")</f>
        <v>0</v>
      </c>
      <c r="AP23" s="581">
        <f>IF(23=23,IF($U23="","",SUMPRODUCT(--ISNUMBER(SEARCH(" "&amp;$CR$636:$CR$735&amp;" ",$AX23)))),"")</f>
        <v>0</v>
      </c>
      <c r="AQ23" s="581">
        <f>IF(23=23,IF($U23="","",SUMPRODUCT(--ISNUMBER(SEARCH(" "&amp;$CR$736:$CR$835&amp;" ",$AX23)))),"")</f>
        <v>0</v>
      </c>
      <c r="AR23" s="581">
        <f>IF(23=23,IF($U23="","",SUMPRODUCT(--ISNUMBER(SEARCH(" "&amp;$CR$836:$CR$935&amp;" ",$AX23)))),"")</f>
        <v>0</v>
      </c>
      <c r="AS23" s="581">
        <f>IF(23=23,IF($U23="","",SUMPRODUCT(--ISNUMBER(SEARCH(" "&amp;$CR$936:$CR$1035&amp;" ",$AX23)))),"")</f>
        <v>0</v>
      </c>
      <c r="AT23" s="581">
        <f>IF(23=23,IF($U23="","",SUMPRODUCT(--ISNUMBER(SEARCH(" "&amp;$CR$1036:$CR$1135&amp;" ",$AX23)))),"")</f>
        <v>0</v>
      </c>
      <c r="AU23" s="581">
        <f>IF(23=23,IF($U23="","",SUMPRODUCT(--ISNUMBER(SEARCH(" "&amp;$CR$1136:$CR$1235&amp;" ",$AX23)))),"")</f>
        <v>0</v>
      </c>
      <c r="AV23" s="581">
        <f>IF(23=23,IF($U23="","",SUMPRODUCT(--ISNUMBER(SEARCH(" "&amp;$CR$1236:$CR$1335&amp;" ",$AX23)))),"")</f>
        <v>0</v>
      </c>
      <c r="AW23" s="581">
        <f>IF(23=23,IF($U23="","",SUMPRODUCT(--ISNUMBER(SEARCH(" "&amp;$CR$1336:$CR$1363&amp;" ",$AX23)))),"")</f>
        <v>0</v>
      </c>
      <c r="AX23" s="581" t="str">
        <f>IF(23=23,IF($U23="","",SUBSTITUTE(SUBSTITUTE(SUBSTITUTE(SUBSTITUTE(SUBSTITUTE(SUBSTITUTE(SUBSTITUTE(SUBSTITUTE(SUBSTITUTE($AA23," "&amp;$CR$1365&amp;" "," ")," "&amp;$CR$1364&amp;" "," ")," "&amp;$CR$1370&amp;" "," ")," "&amp;$CR$1371&amp;" "," ")," "&amp;$CR$1367&amp;" "," ")," "&amp;$CR$1369&amp;" "," ")," "&amp;$CR$1366&amp;" "," ")," "&amp;$CR$1368&amp;" "," ")," "&amp;$CR$1372&amp;" "," ")),"")</f>
        <v xml:space="preserve"> sel </v>
      </c>
      <c r="AY23" s="581">
        <f>IF(23=23,IF($U23="","",SUMPRODUCT(--ISNUMBER(SEARCH(" "&amp;$CR$1373:$CR$1383&amp;" ",$AX23)))),"")</f>
        <v>0</v>
      </c>
      <c r="AZ23" s="581" t="str">
        <f>IF(23=23,IF($U23="","",IF(SUM(AN23:AW23)+SUMPRODUCT(--ISNUMBER(SEARCH(" "&amp;$CR$2421:$CR$2422&amp;" ",$AX23)))&gt;0,"X",IF(AY23&gt;0,"?",""))),"")</f>
        <v/>
      </c>
      <c r="BA23" s="581">
        <f>IF(23=23,IF($U23="","",SUMPRODUCT(--ISNUMBER(SEARCH(" "&amp;$CR$1384:$CR$1404&amp;" ",$AA23)))),"")</f>
        <v>0</v>
      </c>
      <c r="BB23" s="581" t="str">
        <f>IF(23=23,IF($U23="","",IF((BA23)-(0)&gt;0,"X",IF((0)-(0)&gt;0,"?",""))),"")</f>
        <v/>
      </c>
      <c r="BC23" s="581">
        <f>IF(23=23,IF($U23="","",SUMPRODUCT(--ISNUMBER(SEARCH(" "&amp;$CR$1405:$CR$1442&amp;" ",$BD23)))),"")</f>
        <v>0</v>
      </c>
      <c r="BD23" s="581" t="str">
        <f>IF(23=23,IF($U23="","",SUBSTITUTE(SUBSTITUTE($AA23," "&amp;$CR$1443&amp;" "," ")," "&amp;$CR$1444&amp;" "," ")),"")</f>
        <v xml:space="preserve"> sel </v>
      </c>
      <c r="BE23" s="581">
        <f>IF(23=23,IF($U23="","",SUMPRODUCT(--ISNUMBER(SEARCH(" "&amp;$CR$1445:$CR$1455&amp;" ",$BD23)))),"")</f>
        <v>0</v>
      </c>
      <c r="BF23" s="581" t="str">
        <f>IF(23=23,IF($U23="","",IF(BC23&gt;0,"X",IF(BE23&gt;0,"?",""))),"")</f>
        <v/>
      </c>
      <c r="BG23" s="581">
        <f>IF(23=23,IF($U23="","",SUMPRODUCT(--ISNUMBER(SEARCH(" "&amp;$CR$1456:$CR$1555&amp;" ",$BJ23)))),"")</f>
        <v>0</v>
      </c>
      <c r="BH23" s="581">
        <f>IF(23=23,IF($U23="","",SUMPRODUCT(--ISNUMBER(SEARCH(" "&amp;$CR$1556:$CR$1655&amp;" ",$BJ23)))),"")</f>
        <v>0</v>
      </c>
      <c r="BI23" s="581">
        <f>IF(23=23,IF($U23="","",SUMPRODUCT(--ISNUMBER(SEARCH(" "&amp;$CR$1656:$CR$1739&amp;" ",$BJ23)))),"")</f>
        <v>0</v>
      </c>
      <c r="BJ23" s="581"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sel </v>
      </c>
      <c r="BK23" s="581">
        <f>IF(23=23,IF($U23="","",SUMPRODUCT(--ISNUMBER(SEARCH(" "&amp;$CR$1790:$CR$1869&amp;" ",$BL23)))+SUMPRODUCT(--ISNUMBER(SEARCH(" "&amp;$CR$2440:$CR$2453&amp;" ",$BL23)))),"")</f>
        <v>0</v>
      </c>
      <c r="BL23" s="581"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sel </v>
      </c>
      <c r="BM23" s="581" t="str">
        <f>IF(23=23,IF($U23="","",IF(SUM(BG23:BI23)+SUMPRODUCT(--ISNUMBER(SEARCH(" "&amp;$CR$2423:$CR$2424&amp;" ",$BJ23)))&gt;0,"X",IF(BK23&gt;0,"?",""))),"")</f>
        <v/>
      </c>
      <c r="BN23" s="581">
        <f>IF(23=23,IF($U23="","",SUMPRODUCT(--ISNUMBER(SEARCH(" "&amp;$CR$1879:$CR$1936&amp;" ",$BO23)))),"")</f>
        <v>0</v>
      </c>
      <c r="BO23" s="581"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sel </v>
      </c>
      <c r="BP23" s="581">
        <f>IF(23=23,IF($U23="","",SUMPRODUCT(--ISNUMBER(SEARCH(" "&amp;$CR$1960:$CR$1976&amp;" ",$BO23)))),"")</f>
        <v>0</v>
      </c>
      <c r="BQ23" s="581" t="str">
        <f>IF(23=23,IF($U23="","",IF(BN23&gt;0,"X",IF(BP23&gt;0,"?",""))),"")</f>
        <v/>
      </c>
      <c r="BR23" s="581">
        <f>IF(23=23,IF($U23="","",SUMPRODUCT(--ISNUMBER(SEARCH(" "&amp;$CR$1977:$CR$1990&amp;" ",$AA23)))),"")</f>
        <v>0</v>
      </c>
      <c r="BS23" s="581">
        <f>IF(23=23,IF($U23="","",SUMPRODUCT(--ISNUMBER(SEARCH(" "&amp;$CR$1991:$CR$2005&amp;" ",$AA23)))),"")</f>
        <v>0</v>
      </c>
      <c r="BT23" s="581" t="str">
        <f>IF(23=23,IF($U23="","",IF((BR23)-(0)&gt;0,"X",IF((BS23)-(0)&gt;0,"?",""))),"")</f>
        <v/>
      </c>
      <c r="BU23" s="581">
        <f>IF(23=23,IF($U23="","",SUMPRODUCT(--ISNUMBER(SEARCH(" "&amp;$CR$2006:$CR$2023&amp;" ",$AA23)))),"")</f>
        <v>0</v>
      </c>
      <c r="BV23" s="581">
        <f>IF(23=23,IF($U23="","",SUMPRODUCT(--ISNUMBER(SEARCH(" "&amp;$CR$2024:$CR$2038&amp;" ",$AA23)))),"")</f>
        <v>0</v>
      </c>
      <c r="BW23" s="581" t="str">
        <f>IF(23=23,IF($U23="","",IF((BU23)-(0)&gt;0,"X",IF((BV23)-(0)&gt;0,"?",""))),"")</f>
        <v/>
      </c>
      <c r="BX23" s="581">
        <f>IF(23=23,IF($U23="","",SUMPRODUCT(--ISNUMBER(SEARCH(" "&amp;$CR$2039:$CR$2057&amp;" ",$AA23)))),"")</f>
        <v>0</v>
      </c>
      <c r="BY23" s="581">
        <f>IF(23=23,IF($U23="","",SUMPRODUCT(--ISNUMBER(SEARCH(" "&amp;$CR$2058:$CR$2072&amp;" ",$AA23)))),"")</f>
        <v>0</v>
      </c>
      <c r="BZ23" s="581" t="str">
        <f>IF(23=23,IF($U23="","",IF((BX23)-(0)&gt;0,"X",IF((BY23)-(0)&gt;0,"?",""))),"")</f>
        <v/>
      </c>
      <c r="CA23" s="581">
        <f>IF(23=23,IF($U23="","",SUMPRODUCT(--ISNUMBER(SEARCH(" "&amp;$CR$2073:$CR$2093&amp;" ",$AA23)))),"")</f>
        <v>0</v>
      </c>
      <c r="CB23" s="581">
        <f>IF(23=23,IF($U23="","",SUMPRODUCT(--ISNUMBER(SEARCH(" "&amp;$CR$2094:$CR$2133&amp;" ",SUBSTITUTE(SUBSTITUTE($AA23," "&amp;$CR$1367&amp;" "," ")," "&amp;$CR$1366&amp;" "," "))))+--ISNUMBER(SEARCH("poiré",$V23))),"")</f>
        <v>0</v>
      </c>
      <c r="CC23" s="581" t="str">
        <f>IF(23=23,IF($U23="","",IF(OR(CA23&gt;0,ISNUMBER(SEARCH(" vinaigre de vin ",$AA23)),ISNUMBER(SEARCH(" vinaigre au vin ",$AA23))),"X",IF(CB23&gt;0,"?",""))),"")</f>
        <v/>
      </c>
      <c r="CD23" s="581">
        <f>IF(23=23,IF($U23="","",SUMPRODUCT(--ISNUMBER(SEARCH(" "&amp;$CR$2134:$CR$2146&amp;" ",$AA23)))),"")</f>
        <v>0</v>
      </c>
      <c r="CE23" s="581">
        <f>IF(23=23,IF($U23="","",SUMPRODUCT(--ISNUMBER(SEARCH(" "&amp;$CR$2147:$CR$2152&amp;" ",$AA23)))),"")</f>
        <v>0</v>
      </c>
      <c r="CF23" s="581" t="str">
        <f>IF(23=23,IF($U23="","",IF((CD23)-(0)&gt;0,"X",IF((CE23)-(0)&gt;0,"?",""))),"")</f>
        <v/>
      </c>
      <c r="CG23" s="581">
        <f>IF(23=23,IF($U23="","",SUMPRODUCT(--ISNUMBER(SEARCH(" "&amp;$CR$2153:$CR$2252&amp;" ",$CJ23)))),"")</f>
        <v>0</v>
      </c>
      <c r="CH23" s="581">
        <f>IF(23=23,IF($U23="","",SUMPRODUCT(--ISNUMBER(SEARCH(" "&amp;$CR$2253:$CR$2352&amp;" ",$CJ23)))),"")</f>
        <v>0</v>
      </c>
      <c r="CI23" s="581">
        <f>IF(23=23,IF($U23="","",SUMPRODUCT(--ISNUMBER(SEARCH(" "&amp;$CR$2353:$CR$2395&amp;" ",$CJ23)))),"")</f>
        <v>0</v>
      </c>
      <c r="CJ23" s="581"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sel </v>
      </c>
      <c r="CK23" s="581">
        <f>IF(23=23,IF($U23="","",SUMPRODUCT(--ISNUMBER(SEARCH(" "&amp;$CR$2412:$CR$2416&amp;" ",$CJ23)))),"")</f>
        <v>0</v>
      </c>
      <c r="CL23" s="581" t="str">
        <f>IF(23=23,IF($U23="","",IF(SUM(CG23:CI23)&gt;0,"X",IF(CK23&gt;0,"?",""))),"")</f>
        <v/>
      </c>
      <c r="CM23" s="582"/>
      <c r="CN23" s="584" t="s">
        <v>2034</v>
      </c>
      <c r="CO23" s="584" t="s">
        <v>1887</v>
      </c>
      <c r="CP23" s="584" t="s">
        <v>1888</v>
      </c>
      <c r="CQ23" s="584" t="s">
        <v>2035</v>
      </c>
      <c r="CR23" s="584" t="s">
        <v>2035</v>
      </c>
      <c r="CS23" s="584" t="s">
        <v>1890</v>
      </c>
      <c r="CT23" s="584" t="s">
        <v>1891</v>
      </c>
      <c r="CU23" s="584" t="s">
        <v>1892</v>
      </c>
      <c r="CV23" s="585" t="s">
        <v>1893</v>
      </c>
    </row>
    <row r="24" spans="1:100" ht="21.95" customHeight="1" x14ac:dyDescent="0.25">
      <c r="A24" s="597">
        <v>18</v>
      </c>
      <c r="B24" s="598" t="s">
        <v>2036</v>
      </c>
      <c r="C24" s="599" t="str">
        <f t="shared" si="0"/>
        <v>Beurre *</v>
      </c>
      <c r="D24" s="600"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Lait</v>
      </c>
      <c r="E24" s="601" t="str">
        <f>IF(24=24,IF($B24="","",AF24),"")</f>
        <v/>
      </c>
      <c r="F24" s="601" t="str">
        <f>IF(24=24,IF($B24="","",AI24),"")</f>
        <v/>
      </c>
      <c r="G24" s="601" t="str">
        <f>IF(24=24,IF($B24="","",AM24),"")</f>
        <v/>
      </c>
      <c r="H24" s="601" t="str">
        <f>IF(24=24,IF($B24="","",AZ24),"")</f>
        <v/>
      </c>
      <c r="I24" s="601" t="str">
        <f>IF(24=24,IF($B24="","",BB24),"")</f>
        <v/>
      </c>
      <c r="J24" s="601" t="str">
        <f>IF(24=24,IF($B24="","",BF24),"")</f>
        <v/>
      </c>
      <c r="K24" s="601" t="str">
        <f>IF(24=24,IF($B24="","",BM24),"")</f>
        <v>X</v>
      </c>
      <c r="L24" s="601" t="str">
        <f>IF(24=24,IF($B24="","",BQ24),"")</f>
        <v/>
      </c>
      <c r="M24" s="601" t="str">
        <f>IF(24=24,IF($B24="","",BT24),"")</f>
        <v/>
      </c>
      <c r="N24" s="601" t="str">
        <f>IF(24=24,IF($B24="","",BW24),"")</f>
        <v/>
      </c>
      <c r="O24" s="601" t="str">
        <f>IF(24=24,IF($B24="","",BZ24),"")</f>
        <v/>
      </c>
      <c r="P24" s="601" t="str">
        <f>IF(24=24,IF($B24="","",CC24),"")</f>
        <v/>
      </c>
      <c r="Q24" s="601" t="str">
        <f>IF(24=24,IF($B24="","",CF24),"")</f>
        <v/>
      </c>
      <c r="R24" s="601" t="str">
        <f>IF(24=24,IF($B24="","",CL24),"")</f>
        <v/>
      </c>
      <c r="S24" s="602"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581" t="str">
        <f>IF(24=24,IF($B24="","",$B24),"")</f>
        <v>Beurre</v>
      </c>
      <c r="V24" s="581" t="str">
        <f>IF(24=24,LOWER(CLEAN(SUBSTITUTE(SUBSTITUTE(SUBSTITUTE(SUBSTITUTE($U24,CHAR(160)," ")," "," "),CHAR(10)," "),CHAR(13)," "))),"")</f>
        <v>beurre</v>
      </c>
      <c r="W24" s="581" t="str">
        <f>IF(24=24,SUBSTITUTE(SUBSTITUTE(SUBSTITUTE(SUBSTITUTE(SUBSTITUTE(SUBSTITUTE(SUBSTITUTE(SUBSTITUTE(SUBSTITUTE(SUBSTITUTE(SUBSTITUTE(SUBSTITUTE($V24,"œ","oe"),"æ","ae"),"à","a"),"á","a"),"â","a"),"ä","a"),"ã","a"),"ç","c"),"è","e"),"é","e"),"ê","e"),"ë","e"),"")</f>
        <v>beurre</v>
      </c>
      <c r="X24" s="581" t="str">
        <f>IF(24=24,SUBSTITUTE(SUBSTITUTE(SUBSTITUTE(SUBSTITUTE(SUBSTITUTE(SUBSTITUTE(SUBSTITUTE(SUBSTITUTE(SUBSTITUTE(SUBSTITUTE(SUBSTITUTE(SUBSTITUTE(SUBSTITUTE(SUBSTITUTE(SUBSTITUTE(SUBSTITUTE($W24,"ì","i"),"í","i"),"î","i"),"ï","i"),"ñ","n"),"ò","o"),"ó","o"),"ô","o"),"ö","o"),"õ","o"),"ù","u"),"ú","u"),"û","u"),"ü","u"),"ý","y"),"ÿ","y"),"")</f>
        <v>beurre</v>
      </c>
      <c r="Y24" s="581" t="str">
        <f>IF(24=24,SUBSTITUTE(SUBSTITUTE(SUBSTITUTE(SUBSTITUTE(SUBSTITUTE(SUBSTITUTE(SUBSTITUTE(SUBSTITUTE(SUBSTITUTE(SUBSTITUTE(SUBSTITUTE(SUBSTITUTE(SUBSTITUTE(SUBSTITUTE($X24,"’"," "),"`"," "),"–"," "),"—"," "),"-"," "),"'"," "),"/"," "),"_"," "),","," "),"."," "),"("," "),")"," "),";"," "),":"," "),"")</f>
        <v>beurre</v>
      </c>
      <c r="Z24" s="581" t="str">
        <f>IF(24=24,SUBSTITUTE(SUBSTITUTE(SUBSTITUTE(SUBSTITUTE(SUBSTITUTE(SUBSTITUTE(SUBSTITUTE(SUBSTITUTE(SUBSTITUTE(SUBSTITUTE(SUBSTITUTE(SUBSTITUTE(SUBSTITUTE(SUBSTITUTE(SUBSTITUTE($Y24,"!"," "),"?"," "),"+"," "),"*"," "),"&amp;"," "),"["," "),"]"," "),"{"," "),"}"," "),"%"," "),"="," "),"\"," "),"|"," "),"&lt;"," "),"&gt;"," "),"")</f>
        <v>beurre</v>
      </c>
      <c r="AA24" s="581" t="str">
        <f>IF(24=24," "&amp;TRIM(SUBSTITUTE(SUBSTITUTE(SUBSTITUTE(SUBSTITUTE(SUBSTITUTE(SUBSTITUTE($Z24,CHAR(34)," "),"  "," "),"  "," "),"  "," "),"  "," "),"  "," "))&amp;" ","")</f>
        <v xml:space="preserve"> beurre </v>
      </c>
      <c r="AB24" s="581">
        <f>IF(24=24,IF($U24="","",SUMPRODUCT(--ISNUMBER(SEARCH(" "&amp;$CR$2:$CR$101&amp;" ",$AD24)))),"")</f>
        <v>0</v>
      </c>
      <c r="AC24" s="581">
        <f>IF(24=24,IF($U24="","",SUMPRODUCT(--ISNUMBER(SEARCH(" "&amp;$CR$102:$CR$151&amp;" ",$AD24)))),"")</f>
        <v>0</v>
      </c>
      <c r="AD24" s="581" t="e">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4" s="581">
        <f>IF(24=24,IF($U24="","",SUMPRODUCT(--ISNUMBER(SEARCH(" "&amp;$CR$184:$CR$205&amp;" ",$AD24)))),"")</f>
        <v>0</v>
      </c>
      <c r="AF24" s="581" t="str">
        <f>IF(24=24,IF($U24="","",IF(SUM(AB24:AC24)+SUMPRODUCT(--ISNUMBER(SEARCH(" "&amp;$CR$2418:$CR$2420&amp;" ",$AD24)))&gt;0,"X",IF(AE24&gt;0,"?",""))),"")</f>
        <v/>
      </c>
      <c r="AG24" s="581">
        <f>IF(24=24,IF($U24="","",SUMPRODUCT(--ISNUMBER(SEARCH(" "&amp;$CR$206:$CR$305&amp;" ",$AA24)))),"")</f>
        <v>0</v>
      </c>
      <c r="AH24" s="581">
        <f>IF(24=24,IF($U24="","",SUMPRODUCT(--ISNUMBER(SEARCH(" "&amp;$CR$306:$CR$340&amp;" ",$AA24)))),"")</f>
        <v>0</v>
      </c>
      <c r="AI24" s="581" t="str">
        <f>IF(24=24,IF($U24="","",IF((SUM(AG24:AH24))-(0)&gt;0,"X",IF((0)-(0)&gt;0,"?",""))),"")</f>
        <v/>
      </c>
      <c r="AJ24" s="581">
        <f>IF(24=24,IF($U24="","",SUMPRODUCT(--ISNUMBER(SEARCH(" "&amp;$CR$341:$CR$398&amp;" ",$AA24)))),"")</f>
        <v>0</v>
      </c>
      <c r="AK24" s="581">
        <f>IF(24=24,IF($U24="","",SUMPRODUCT(--ISNUMBER(SEARCH(" "&amp;$CR$399:$CR$426&amp;" ",$AL24)))+SUMPRODUCT(--ISNUMBER(SEARCH(" "&amp;$CR$2440:$CR$2453&amp;" ",$AL24)))),"")</f>
        <v>0</v>
      </c>
      <c r="AL24" s="581" t="str">
        <f>IF(24=24,IF($U24="","",SUBSTITUTE(SUBSTITUTE(SUBSTITUTE(SUBSTITUTE(SUBSTITUTE(SUBSTITUTE(SUBSTITUTE(SUBSTITUTE(SUBSTITUTE(SUBSTITUTE(SUBSTITUTE(SUBSTITUTE(SUBSTITUTE($AA24," "&amp;$CR$433&amp;" "," ")," "&amp;$CR$431&amp;" "," ")," "&amp;$CR$2438&amp;" "," ")," "&amp;$CR$2439&amp;" "," ")," "&amp;$CR$428&amp;" "," ")," "&amp;$CR$432&amp;" "," ")," "&amp;$CR$434&amp;" "," ")," "&amp;$CR$429&amp;" "," ")," "&amp;$CR$427&amp;" "," ")," "&amp;$CR$1367&amp;" "," ")," "&amp;$CR$435&amp;" "," ")," "&amp;$CR$1366&amp;" "," ")," "&amp;$CR$430&amp;" "," ")),"")</f>
        <v xml:space="preserve"> beurre </v>
      </c>
      <c r="AM24" s="581" t="str">
        <f>IF(24=24,IF($U24="","",IF(AJ24&gt;0,"X",IF(AK24&gt;0,"?",""))),"")</f>
        <v/>
      </c>
      <c r="AN24" s="581">
        <f>IF(24=24,IF($U24="","",SUMPRODUCT(--ISNUMBER(SEARCH(" "&amp;$CR$436:$CR$535&amp;" ",$AX24)))),"")</f>
        <v>0</v>
      </c>
      <c r="AO24" s="581">
        <f>IF(24=24,IF($U24="","",SUMPRODUCT(--ISNUMBER(SEARCH(" "&amp;$CR$536:$CR$635&amp;" ",$AX24)))),"")</f>
        <v>0</v>
      </c>
      <c r="AP24" s="581">
        <f>IF(24=24,IF($U24="","",SUMPRODUCT(--ISNUMBER(SEARCH(" "&amp;$CR$636:$CR$735&amp;" ",$AX24)))),"")</f>
        <v>0</v>
      </c>
      <c r="AQ24" s="581">
        <f>IF(24=24,IF($U24="","",SUMPRODUCT(--ISNUMBER(SEARCH(" "&amp;$CR$736:$CR$835&amp;" ",$AX24)))),"")</f>
        <v>0</v>
      </c>
      <c r="AR24" s="581">
        <f>IF(24=24,IF($U24="","",SUMPRODUCT(--ISNUMBER(SEARCH(" "&amp;$CR$836:$CR$935&amp;" ",$AX24)))),"")</f>
        <v>0</v>
      </c>
      <c r="AS24" s="581">
        <f>IF(24=24,IF($U24="","",SUMPRODUCT(--ISNUMBER(SEARCH(" "&amp;$CR$936:$CR$1035&amp;" ",$AX24)))),"")</f>
        <v>0</v>
      </c>
      <c r="AT24" s="581">
        <f>IF(24=24,IF($U24="","",SUMPRODUCT(--ISNUMBER(SEARCH(" "&amp;$CR$1036:$CR$1135&amp;" ",$AX24)))),"")</f>
        <v>0</v>
      </c>
      <c r="AU24" s="581">
        <f>IF(24=24,IF($U24="","",SUMPRODUCT(--ISNUMBER(SEARCH(" "&amp;$CR$1136:$CR$1235&amp;" ",$AX24)))),"")</f>
        <v>0</v>
      </c>
      <c r="AV24" s="581">
        <f>IF(24=24,IF($U24="","",SUMPRODUCT(--ISNUMBER(SEARCH(" "&amp;$CR$1236:$CR$1335&amp;" ",$AX24)))),"")</f>
        <v>0</v>
      </c>
      <c r="AW24" s="581">
        <f>IF(24=24,IF($U24="","",SUMPRODUCT(--ISNUMBER(SEARCH(" "&amp;$CR$1336:$CR$1363&amp;" ",$AX24)))),"")</f>
        <v>0</v>
      </c>
      <c r="AX24" s="581" t="str">
        <f>IF(24=24,IF($U24="","",SUBSTITUTE(SUBSTITUTE(SUBSTITUTE(SUBSTITUTE(SUBSTITUTE(SUBSTITUTE(SUBSTITUTE(SUBSTITUTE(SUBSTITUTE($AA24," "&amp;$CR$1365&amp;" "," ")," "&amp;$CR$1364&amp;" "," ")," "&amp;$CR$1370&amp;" "," ")," "&amp;$CR$1371&amp;" "," ")," "&amp;$CR$1367&amp;" "," ")," "&amp;$CR$1369&amp;" "," ")," "&amp;$CR$1366&amp;" "," ")," "&amp;$CR$1368&amp;" "," ")," "&amp;$CR$1372&amp;" "," ")),"")</f>
        <v xml:space="preserve"> beurre </v>
      </c>
      <c r="AY24" s="581">
        <f>IF(24=24,IF($U24="","",SUMPRODUCT(--ISNUMBER(SEARCH(" "&amp;$CR$1373:$CR$1383&amp;" ",$AX24)))),"")</f>
        <v>0</v>
      </c>
      <c r="AZ24" s="581" t="str">
        <f>IF(24=24,IF($U24="","",IF(SUM(AN24:AW24)+SUMPRODUCT(--ISNUMBER(SEARCH(" "&amp;$CR$2421:$CR$2422&amp;" ",$AX24)))&gt;0,"X",IF(AY24&gt;0,"?",""))),"")</f>
        <v/>
      </c>
      <c r="BA24" s="581">
        <f>IF(24=24,IF($U24="","",SUMPRODUCT(--ISNUMBER(SEARCH(" "&amp;$CR$1384:$CR$1404&amp;" ",$AA24)))),"")</f>
        <v>0</v>
      </c>
      <c r="BB24" s="581" t="str">
        <f>IF(24=24,IF($U24="","",IF((BA24)-(0)&gt;0,"X",IF((0)-(0)&gt;0,"?",""))),"")</f>
        <v/>
      </c>
      <c r="BC24" s="581">
        <f>IF(24=24,IF($U24="","",SUMPRODUCT(--ISNUMBER(SEARCH(" "&amp;$CR$1405:$CR$1442&amp;" ",$BD24)))),"")</f>
        <v>0</v>
      </c>
      <c r="BD24" s="581" t="str">
        <f>IF(24=24,IF($U24="","",SUBSTITUTE(SUBSTITUTE($AA24," "&amp;$CR$1443&amp;" "," ")," "&amp;$CR$1444&amp;" "," ")),"")</f>
        <v xml:space="preserve"> beurre </v>
      </c>
      <c r="BE24" s="581">
        <f>IF(24=24,IF($U24="","",SUMPRODUCT(--ISNUMBER(SEARCH(" "&amp;$CR$1445:$CR$1455&amp;" ",$BD24)))),"")</f>
        <v>0</v>
      </c>
      <c r="BF24" s="581" t="str">
        <f>IF(24=24,IF($U24="","",IF(BC24&gt;0,"X",IF(BE24&gt;0,"?",""))),"")</f>
        <v/>
      </c>
      <c r="BG24" s="581">
        <f>IF(24=24,IF($U24="","",SUMPRODUCT(--ISNUMBER(SEARCH(" "&amp;$CR$1456:$CR$1555&amp;" ",$BJ24)))),"")</f>
        <v>1</v>
      </c>
      <c r="BH24" s="581">
        <f>IF(24=24,IF($U24="","",SUMPRODUCT(--ISNUMBER(SEARCH(" "&amp;$CR$1556:$CR$1655&amp;" ",$BJ24)))),"")</f>
        <v>0</v>
      </c>
      <c r="BI24" s="581">
        <f>IF(24=24,IF($U24="","",SUMPRODUCT(--ISNUMBER(SEARCH(" "&amp;$CR$1656:$CR$1739&amp;" ",$BJ24)))),"")</f>
        <v>0</v>
      </c>
      <c r="BJ24" s="581"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24" s="581">
        <f>IF(24=24,IF($U24="","",SUMPRODUCT(--ISNUMBER(SEARCH(" "&amp;$CR$1790:$CR$1869&amp;" ",$BL24)))+SUMPRODUCT(--ISNUMBER(SEARCH(" "&amp;$CR$2440:$CR$2453&amp;" ",$BL24)))),"")</f>
        <v>0</v>
      </c>
      <c r="BL24" s="581"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beurre </v>
      </c>
      <c r="BM24" s="581" t="str">
        <f>IF(24=24,IF($U24="","",IF(SUM(BG24:BI24)+SUMPRODUCT(--ISNUMBER(SEARCH(" "&amp;$CR$2423:$CR$2424&amp;" ",$BJ24)))&gt;0,"X",IF(BK24&gt;0,"?",""))),"")</f>
        <v>X</v>
      </c>
      <c r="BN24" s="581">
        <f>IF(24=24,IF($U24="","",SUMPRODUCT(--ISNUMBER(SEARCH(" "&amp;$CR$1879:$CR$1936&amp;" ",$BO24)))),"")</f>
        <v>0</v>
      </c>
      <c r="BO24" s="581"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24" s="581">
        <f>IF(24=24,IF($U24="","",SUMPRODUCT(--ISNUMBER(SEARCH(" "&amp;$CR$1960:$CR$1976&amp;" ",$BO24)))),"")</f>
        <v>0</v>
      </c>
      <c r="BQ24" s="581" t="str">
        <f>IF(24=24,IF($U24="","",IF(BN24&gt;0,"X",IF(BP24&gt;0,"?",""))),"")</f>
        <v/>
      </c>
      <c r="BR24" s="581">
        <f>IF(24=24,IF($U24="","",SUMPRODUCT(--ISNUMBER(SEARCH(" "&amp;$CR$1977:$CR$1990&amp;" ",$AA24)))),"")</f>
        <v>0</v>
      </c>
      <c r="BS24" s="581">
        <f>IF(24=24,IF($U24="","",SUMPRODUCT(--ISNUMBER(SEARCH(" "&amp;$CR$1991:$CR$2005&amp;" ",$AA24)))),"")</f>
        <v>0</v>
      </c>
      <c r="BT24" s="581" t="str">
        <f>IF(24=24,IF($U24="","",IF((BR24)-(0)&gt;0,"X",IF((BS24)-(0)&gt;0,"?",""))),"")</f>
        <v/>
      </c>
      <c r="BU24" s="581">
        <f>IF(24=24,IF($U24="","",SUMPRODUCT(--ISNUMBER(SEARCH(" "&amp;$CR$2006:$CR$2023&amp;" ",$AA24)))),"")</f>
        <v>0</v>
      </c>
      <c r="BV24" s="581">
        <f>IF(24=24,IF($U24="","",SUMPRODUCT(--ISNUMBER(SEARCH(" "&amp;$CR$2024:$CR$2038&amp;" ",$AA24)))),"")</f>
        <v>0</v>
      </c>
      <c r="BW24" s="581" t="str">
        <f>IF(24=24,IF($U24="","",IF((BU24)-(0)&gt;0,"X",IF((BV24)-(0)&gt;0,"?",""))),"")</f>
        <v/>
      </c>
      <c r="BX24" s="581">
        <f>IF(24=24,IF($U24="","",SUMPRODUCT(--ISNUMBER(SEARCH(" "&amp;$CR$2039:$CR$2057&amp;" ",$AA24)))),"")</f>
        <v>0</v>
      </c>
      <c r="BY24" s="581">
        <f>IF(24=24,IF($U24="","",SUMPRODUCT(--ISNUMBER(SEARCH(" "&amp;$CR$2058:$CR$2072&amp;" ",$AA24)))),"")</f>
        <v>0</v>
      </c>
      <c r="BZ24" s="581" t="str">
        <f>IF(24=24,IF($U24="","",IF((BX24)-(0)&gt;0,"X",IF((BY24)-(0)&gt;0,"?",""))),"")</f>
        <v/>
      </c>
      <c r="CA24" s="581">
        <f>IF(24=24,IF($U24="","",SUMPRODUCT(--ISNUMBER(SEARCH(" "&amp;$CR$2073:$CR$2093&amp;" ",$AA24)))),"")</f>
        <v>0</v>
      </c>
      <c r="CB24" s="581">
        <f>IF(24=24,IF($U24="","",SUMPRODUCT(--ISNUMBER(SEARCH(" "&amp;$CR$2094:$CR$2133&amp;" ",SUBSTITUTE(SUBSTITUTE($AA24," "&amp;$CR$1367&amp;" "," ")," "&amp;$CR$1366&amp;" "," "))))+--ISNUMBER(SEARCH("poiré",$V24))),"")</f>
        <v>0</v>
      </c>
      <c r="CC24" s="581" t="str">
        <f>IF(24=24,IF($U24="","",IF(OR(CA24&gt;0,ISNUMBER(SEARCH(" vinaigre de vin ",$AA24)),ISNUMBER(SEARCH(" vinaigre au vin ",$AA24))),"X",IF(CB24&gt;0,"?",""))),"")</f>
        <v/>
      </c>
      <c r="CD24" s="581">
        <f>IF(24=24,IF($U24="","",SUMPRODUCT(--ISNUMBER(SEARCH(" "&amp;$CR$2134:$CR$2146&amp;" ",$AA24)))),"")</f>
        <v>0</v>
      </c>
      <c r="CE24" s="581">
        <f>IF(24=24,IF($U24="","",SUMPRODUCT(--ISNUMBER(SEARCH(" "&amp;$CR$2147:$CR$2152&amp;" ",$AA24)))),"")</f>
        <v>0</v>
      </c>
      <c r="CF24" s="581" t="str">
        <f>IF(24=24,IF($U24="","",IF((CD24)-(0)&gt;0,"X",IF((CE24)-(0)&gt;0,"?",""))),"")</f>
        <v/>
      </c>
      <c r="CG24" s="581">
        <f>IF(24=24,IF($U24="","",SUMPRODUCT(--ISNUMBER(SEARCH(" "&amp;$CR$2153:$CR$2252&amp;" ",$CJ24)))),"")</f>
        <v>0</v>
      </c>
      <c r="CH24" s="581">
        <f>IF(24=24,IF($U24="","",SUMPRODUCT(--ISNUMBER(SEARCH(" "&amp;$CR$2253:$CR$2352&amp;" ",$CJ24)))),"")</f>
        <v>0</v>
      </c>
      <c r="CI24" s="581">
        <f>IF(24=24,IF($U24="","",SUMPRODUCT(--ISNUMBER(SEARCH(" "&amp;$CR$2353:$CR$2395&amp;" ",$CJ24)))),"")</f>
        <v>0</v>
      </c>
      <c r="CJ24" s="581"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beurre </v>
      </c>
      <c r="CK24" s="581">
        <f>IF(24=24,IF($U24="","",SUMPRODUCT(--ISNUMBER(SEARCH(" "&amp;$CR$2412:$CR$2416&amp;" ",$CJ24)))),"")</f>
        <v>0</v>
      </c>
      <c r="CL24" s="581" t="str">
        <f>IF(24=24,IF($U24="","",IF(SUM(CG24:CI24)&gt;0,"X",IF(CK24&gt;0,"?",""))),"")</f>
        <v/>
      </c>
      <c r="CM24" s="582"/>
      <c r="CN24" s="584" t="s">
        <v>2037</v>
      </c>
      <c r="CO24" s="584" t="s">
        <v>1887</v>
      </c>
      <c r="CP24" s="584" t="s">
        <v>1888</v>
      </c>
      <c r="CQ24" s="584" t="s">
        <v>2038</v>
      </c>
      <c r="CR24" s="584" t="s">
        <v>2038</v>
      </c>
      <c r="CS24" s="584" t="s">
        <v>1890</v>
      </c>
      <c r="CT24" s="584" t="s">
        <v>1891</v>
      </c>
      <c r="CU24" s="584" t="s">
        <v>1892</v>
      </c>
      <c r="CV24" s="585" t="s">
        <v>1893</v>
      </c>
    </row>
    <row r="25" spans="1:100" ht="21.95" customHeight="1" x14ac:dyDescent="0.25">
      <c r="A25" s="597">
        <v>19</v>
      </c>
      <c r="B25" s="598" t="s">
        <v>2039</v>
      </c>
      <c r="C25" s="599" t="str">
        <f t="shared" si="0"/>
        <v>Beurre ou margarine *</v>
      </c>
      <c r="D25" s="600"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Lait</v>
      </c>
      <c r="E25" s="601" t="str">
        <f>IF(25=25,IF($B25="","",AF25),"")</f>
        <v/>
      </c>
      <c r="F25" s="601" t="str">
        <f>IF(25=25,IF($B25="","",AI25),"")</f>
        <v/>
      </c>
      <c r="G25" s="601" t="str">
        <f>IF(25=25,IF($B25="","",AM25),"")</f>
        <v/>
      </c>
      <c r="H25" s="601" t="str">
        <f>IF(25=25,IF($B25="","",AZ25),"")</f>
        <v/>
      </c>
      <c r="I25" s="601" t="str">
        <f>IF(25=25,IF($B25="","",BB25),"")</f>
        <v/>
      </c>
      <c r="J25" s="601" t="str">
        <f>IF(25=25,IF($B25="","",BF25),"")</f>
        <v>?</v>
      </c>
      <c r="K25" s="601" t="str">
        <f>IF(25=25,IF($B25="","",BM25),"")</f>
        <v>X</v>
      </c>
      <c r="L25" s="601" t="str">
        <f>IF(25=25,IF($B25="","",BQ25),"")</f>
        <v/>
      </c>
      <c r="M25" s="601" t="str">
        <f>IF(25=25,IF($B25="","",BT25),"")</f>
        <v/>
      </c>
      <c r="N25" s="601" t="str">
        <f>IF(25=25,IF($B25="","",BW25),"")</f>
        <v/>
      </c>
      <c r="O25" s="601" t="str">
        <f>IF(25=25,IF($B25="","",BZ25),"")</f>
        <v/>
      </c>
      <c r="P25" s="601" t="str">
        <f>IF(25=25,IF($B25="","",CC25),"")</f>
        <v/>
      </c>
      <c r="Q25" s="601" t="str">
        <f>IF(25=25,IF($B25="","",CF25),"")</f>
        <v/>
      </c>
      <c r="R25" s="601" t="str">
        <f>IF(25=25,IF($B25="","",CL25),"")</f>
        <v/>
      </c>
      <c r="S25" s="602"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Soja</v>
      </c>
      <c r="U25" s="581" t="str">
        <f>IF(25=25,IF($B25="","",$B25),"")</f>
        <v>Beurre ou margarine</v>
      </c>
      <c r="V25" s="581" t="str">
        <f>IF(25=25,LOWER(CLEAN(SUBSTITUTE(SUBSTITUTE(SUBSTITUTE(SUBSTITUTE($U25,CHAR(160)," ")," "," "),CHAR(10)," "),CHAR(13)," "))),"")</f>
        <v>beurre ou margarine</v>
      </c>
      <c r="W25" s="581" t="str">
        <f>IF(25=25,SUBSTITUTE(SUBSTITUTE(SUBSTITUTE(SUBSTITUTE(SUBSTITUTE(SUBSTITUTE(SUBSTITUTE(SUBSTITUTE(SUBSTITUTE(SUBSTITUTE(SUBSTITUTE(SUBSTITUTE($V25,"œ","oe"),"æ","ae"),"à","a"),"á","a"),"â","a"),"ä","a"),"ã","a"),"ç","c"),"è","e"),"é","e"),"ê","e"),"ë","e"),"")</f>
        <v>beurre ou margarine</v>
      </c>
      <c r="X25" s="581" t="str">
        <f>IF(25=25,SUBSTITUTE(SUBSTITUTE(SUBSTITUTE(SUBSTITUTE(SUBSTITUTE(SUBSTITUTE(SUBSTITUTE(SUBSTITUTE(SUBSTITUTE(SUBSTITUTE(SUBSTITUTE(SUBSTITUTE(SUBSTITUTE(SUBSTITUTE(SUBSTITUTE(SUBSTITUTE($W25,"ì","i"),"í","i"),"î","i"),"ï","i"),"ñ","n"),"ò","o"),"ó","o"),"ô","o"),"ö","o"),"õ","o"),"ù","u"),"ú","u"),"û","u"),"ü","u"),"ý","y"),"ÿ","y"),"")</f>
        <v>beurre ou margarine</v>
      </c>
      <c r="Y25" s="581" t="str">
        <f>IF(25=25,SUBSTITUTE(SUBSTITUTE(SUBSTITUTE(SUBSTITUTE(SUBSTITUTE(SUBSTITUTE(SUBSTITUTE(SUBSTITUTE(SUBSTITUTE(SUBSTITUTE(SUBSTITUTE(SUBSTITUTE(SUBSTITUTE(SUBSTITUTE($X25,"’"," "),"`"," "),"–"," "),"—"," "),"-"," "),"'"," "),"/"," "),"_"," "),","," "),"."," "),"("," "),")"," "),";"," "),":"," "),"")</f>
        <v>beurre ou margarine</v>
      </c>
      <c r="Z25" s="581" t="str">
        <f>IF(25=25,SUBSTITUTE(SUBSTITUTE(SUBSTITUTE(SUBSTITUTE(SUBSTITUTE(SUBSTITUTE(SUBSTITUTE(SUBSTITUTE(SUBSTITUTE(SUBSTITUTE(SUBSTITUTE(SUBSTITUTE(SUBSTITUTE(SUBSTITUTE(SUBSTITUTE($Y25,"!"," "),"?"," "),"+"," "),"*"," "),"&amp;"," "),"["," "),"]"," "),"{"," "),"}"," "),"%"," "),"="," "),"\"," "),"|"," "),"&lt;"," "),"&gt;"," "),"")</f>
        <v>beurre ou margarine</v>
      </c>
      <c r="AA25" s="581" t="str">
        <f>IF(25=25," "&amp;TRIM(SUBSTITUTE(SUBSTITUTE(SUBSTITUTE(SUBSTITUTE(SUBSTITUTE(SUBSTITUTE($Z25,CHAR(34)," "),"  "," "),"  "," "),"  "," "),"  "," "),"  "," "))&amp;" ","")</f>
        <v xml:space="preserve"> beurre ou margarine </v>
      </c>
      <c r="AB25" s="581">
        <f>IF(25=25,IF($U25="","",SUMPRODUCT(--ISNUMBER(SEARCH(" "&amp;$CR$2:$CR$101&amp;" ",$AD25)))),"")</f>
        <v>0</v>
      </c>
      <c r="AC25" s="581">
        <f>IF(25=25,IF($U25="","",SUMPRODUCT(--ISNUMBER(SEARCH(" "&amp;$CR$102:$CR$151&amp;" ",$AD25)))),"")</f>
        <v>0</v>
      </c>
      <c r="AD25" s="581" t="e">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5" s="581">
        <f>IF(25=25,IF($U25="","",SUMPRODUCT(--ISNUMBER(SEARCH(" "&amp;$CR$184:$CR$205&amp;" ",$AD25)))),"")</f>
        <v>0</v>
      </c>
      <c r="AF25" s="581" t="str">
        <f>IF(25=25,IF($U25="","",IF(SUM(AB25:AC25)+SUMPRODUCT(--ISNUMBER(SEARCH(" "&amp;$CR$2418:$CR$2420&amp;" ",$AD25)))&gt;0,"X",IF(AE25&gt;0,"?",""))),"")</f>
        <v/>
      </c>
      <c r="AG25" s="581">
        <f>IF(25=25,IF($U25="","",SUMPRODUCT(--ISNUMBER(SEARCH(" "&amp;$CR$206:$CR$305&amp;" ",$AA25)))),"")</f>
        <v>0</v>
      </c>
      <c r="AH25" s="581">
        <f>IF(25=25,IF($U25="","",SUMPRODUCT(--ISNUMBER(SEARCH(" "&amp;$CR$306:$CR$340&amp;" ",$AA25)))),"")</f>
        <v>0</v>
      </c>
      <c r="AI25" s="581" t="str">
        <f>IF(25=25,IF($U25="","",IF((SUM(AG25:AH25))-(0)&gt;0,"X",IF((0)-(0)&gt;0,"?",""))),"")</f>
        <v/>
      </c>
      <c r="AJ25" s="581">
        <f>IF(25=25,IF($U25="","",SUMPRODUCT(--ISNUMBER(SEARCH(" "&amp;$CR$341:$CR$398&amp;" ",$AA25)))),"")</f>
        <v>0</v>
      </c>
      <c r="AK25" s="581">
        <f>IF(25=25,IF($U25="","",SUMPRODUCT(--ISNUMBER(SEARCH(" "&amp;$CR$399:$CR$426&amp;" ",$AL25)))+SUMPRODUCT(--ISNUMBER(SEARCH(" "&amp;$CR$2440:$CR$2453&amp;" ",$AL25)))),"")</f>
        <v>0</v>
      </c>
      <c r="AL25" s="581" t="str">
        <f>IF(25=25,IF($U25="","",SUBSTITUTE(SUBSTITUTE(SUBSTITUTE(SUBSTITUTE(SUBSTITUTE(SUBSTITUTE(SUBSTITUTE(SUBSTITUTE(SUBSTITUTE(SUBSTITUTE(SUBSTITUTE(SUBSTITUTE(SUBSTITUTE($AA25," "&amp;$CR$433&amp;" "," ")," "&amp;$CR$431&amp;" "," ")," "&amp;$CR$2438&amp;" "," ")," "&amp;$CR$2439&amp;" "," ")," "&amp;$CR$428&amp;" "," ")," "&amp;$CR$432&amp;" "," ")," "&amp;$CR$434&amp;" "," ")," "&amp;$CR$429&amp;" "," ")," "&amp;$CR$427&amp;" "," ")," "&amp;$CR$1367&amp;" "," ")," "&amp;$CR$435&amp;" "," ")," "&amp;$CR$1366&amp;" "," ")," "&amp;$CR$430&amp;" "," ")),"")</f>
        <v xml:space="preserve"> beurre ou margarine </v>
      </c>
      <c r="AM25" s="581" t="str">
        <f>IF(25=25,IF($U25="","",IF(AJ25&gt;0,"X",IF(AK25&gt;0,"?",""))),"")</f>
        <v/>
      </c>
      <c r="AN25" s="581">
        <f>IF(25=25,IF($U25="","",SUMPRODUCT(--ISNUMBER(SEARCH(" "&amp;$CR$436:$CR$535&amp;" ",$AX25)))),"")</f>
        <v>0</v>
      </c>
      <c r="AO25" s="581">
        <f>IF(25=25,IF($U25="","",SUMPRODUCT(--ISNUMBER(SEARCH(" "&amp;$CR$536:$CR$635&amp;" ",$AX25)))),"")</f>
        <v>0</v>
      </c>
      <c r="AP25" s="581">
        <f>IF(25=25,IF($U25="","",SUMPRODUCT(--ISNUMBER(SEARCH(" "&amp;$CR$636:$CR$735&amp;" ",$AX25)))),"")</f>
        <v>0</v>
      </c>
      <c r="AQ25" s="581">
        <f>IF(25=25,IF($U25="","",SUMPRODUCT(--ISNUMBER(SEARCH(" "&amp;$CR$736:$CR$835&amp;" ",$AX25)))),"")</f>
        <v>0</v>
      </c>
      <c r="AR25" s="581">
        <f>IF(25=25,IF($U25="","",SUMPRODUCT(--ISNUMBER(SEARCH(" "&amp;$CR$836:$CR$935&amp;" ",$AX25)))),"")</f>
        <v>0</v>
      </c>
      <c r="AS25" s="581">
        <f>IF(25=25,IF($U25="","",SUMPRODUCT(--ISNUMBER(SEARCH(" "&amp;$CR$936:$CR$1035&amp;" ",$AX25)))),"")</f>
        <v>0</v>
      </c>
      <c r="AT25" s="581">
        <f>IF(25=25,IF($U25="","",SUMPRODUCT(--ISNUMBER(SEARCH(" "&amp;$CR$1036:$CR$1135&amp;" ",$AX25)))),"")</f>
        <v>0</v>
      </c>
      <c r="AU25" s="581">
        <f>IF(25=25,IF($U25="","",SUMPRODUCT(--ISNUMBER(SEARCH(" "&amp;$CR$1136:$CR$1235&amp;" ",$AX25)))),"")</f>
        <v>0</v>
      </c>
      <c r="AV25" s="581">
        <f>IF(25=25,IF($U25="","",SUMPRODUCT(--ISNUMBER(SEARCH(" "&amp;$CR$1236:$CR$1335&amp;" ",$AX25)))),"")</f>
        <v>0</v>
      </c>
      <c r="AW25" s="581">
        <f>IF(25=25,IF($U25="","",SUMPRODUCT(--ISNUMBER(SEARCH(" "&amp;$CR$1336:$CR$1363&amp;" ",$AX25)))),"")</f>
        <v>0</v>
      </c>
      <c r="AX25" s="581" t="str">
        <f>IF(25=25,IF($U25="","",SUBSTITUTE(SUBSTITUTE(SUBSTITUTE(SUBSTITUTE(SUBSTITUTE(SUBSTITUTE(SUBSTITUTE(SUBSTITUTE(SUBSTITUTE($AA25," "&amp;$CR$1365&amp;" "," ")," "&amp;$CR$1364&amp;" "," ")," "&amp;$CR$1370&amp;" "," ")," "&amp;$CR$1371&amp;" "," ")," "&amp;$CR$1367&amp;" "," ")," "&amp;$CR$1369&amp;" "," ")," "&amp;$CR$1366&amp;" "," ")," "&amp;$CR$1368&amp;" "," ")," "&amp;$CR$1372&amp;" "," ")),"")</f>
        <v xml:space="preserve"> beurre ou margarine </v>
      </c>
      <c r="AY25" s="581">
        <f>IF(25=25,IF($U25="","",SUMPRODUCT(--ISNUMBER(SEARCH(" "&amp;$CR$1373:$CR$1383&amp;" ",$AX25)))),"")</f>
        <v>0</v>
      </c>
      <c r="AZ25" s="581" t="str">
        <f>IF(25=25,IF($U25="","",IF(SUM(AN25:AW25)+SUMPRODUCT(--ISNUMBER(SEARCH(" "&amp;$CR$2421:$CR$2422&amp;" ",$AX25)))&gt;0,"X",IF(AY25&gt;0,"?",""))),"")</f>
        <v/>
      </c>
      <c r="BA25" s="581">
        <f>IF(25=25,IF($U25="","",SUMPRODUCT(--ISNUMBER(SEARCH(" "&amp;$CR$1384:$CR$1404&amp;" ",$AA25)))),"")</f>
        <v>0</v>
      </c>
      <c r="BB25" s="581" t="str">
        <f>IF(25=25,IF($U25="","",IF((BA25)-(0)&gt;0,"X",IF((0)-(0)&gt;0,"?",""))),"")</f>
        <v/>
      </c>
      <c r="BC25" s="581">
        <f>IF(25=25,IF($U25="","",SUMPRODUCT(--ISNUMBER(SEARCH(" "&amp;$CR$1405:$CR$1442&amp;" ",$BD25)))),"")</f>
        <v>0</v>
      </c>
      <c r="BD25" s="581" t="str">
        <f>IF(25=25,IF($U25="","",SUBSTITUTE(SUBSTITUTE($AA25," "&amp;$CR$1443&amp;" "," ")," "&amp;$CR$1444&amp;" "," ")),"")</f>
        <v xml:space="preserve"> beurre ou margarine </v>
      </c>
      <c r="BE25" s="581">
        <f>IF(25=25,IF($U25="","",SUMPRODUCT(--ISNUMBER(SEARCH(" "&amp;$CR$1445:$CR$1455&amp;" ",$BD25)))),"")</f>
        <v>1</v>
      </c>
      <c r="BF25" s="581" t="str">
        <f>IF(25=25,IF($U25="","",IF(BC25&gt;0,"X",IF(BE25&gt;0,"?",""))),"")</f>
        <v>?</v>
      </c>
      <c r="BG25" s="581">
        <f>IF(25=25,IF($U25="","",SUMPRODUCT(--ISNUMBER(SEARCH(" "&amp;$CR$1456:$CR$1555&amp;" ",$BJ25)))),"")</f>
        <v>1</v>
      </c>
      <c r="BH25" s="581">
        <f>IF(25=25,IF($U25="","",SUMPRODUCT(--ISNUMBER(SEARCH(" "&amp;$CR$1556:$CR$1655&amp;" ",$BJ25)))),"")</f>
        <v>0</v>
      </c>
      <c r="BI25" s="581">
        <f>IF(25=25,IF($U25="","",SUMPRODUCT(--ISNUMBER(SEARCH(" "&amp;$CR$1656:$CR$1739&amp;" ",$BJ25)))),"")</f>
        <v>0</v>
      </c>
      <c r="BJ25" s="581"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ou margarine </v>
      </c>
      <c r="BK25" s="581">
        <f>IF(25=25,IF($U25="","",SUMPRODUCT(--ISNUMBER(SEARCH(" "&amp;$CR$1790:$CR$1869&amp;" ",$BL25)))+SUMPRODUCT(--ISNUMBER(SEARCH(" "&amp;$CR$2440:$CR$2453&amp;" ",$BL25)))),"")</f>
        <v>1</v>
      </c>
      <c r="BL25" s="581"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beurre ou margarine </v>
      </c>
      <c r="BM25" s="581" t="str">
        <f>IF(25=25,IF($U25="","",IF(SUM(BG25:BI25)+SUMPRODUCT(--ISNUMBER(SEARCH(" "&amp;$CR$2423:$CR$2424&amp;" ",$BJ25)))&gt;0,"X",IF(BK25&gt;0,"?",""))),"")</f>
        <v>X</v>
      </c>
      <c r="BN25" s="581">
        <f>IF(25=25,IF($U25="","",SUMPRODUCT(--ISNUMBER(SEARCH(" "&amp;$CR$1879:$CR$1936&amp;" ",$BO25)))),"")</f>
        <v>0</v>
      </c>
      <c r="BO25" s="581"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ou margarine </v>
      </c>
      <c r="BP25" s="581">
        <f>IF(25=25,IF($U25="","",SUMPRODUCT(--ISNUMBER(SEARCH(" "&amp;$CR$1960:$CR$1976&amp;" ",$BO25)))),"")</f>
        <v>0</v>
      </c>
      <c r="BQ25" s="581" t="str">
        <f>IF(25=25,IF($U25="","",IF(BN25&gt;0,"X",IF(BP25&gt;0,"?",""))),"")</f>
        <v/>
      </c>
      <c r="BR25" s="581">
        <f>IF(25=25,IF($U25="","",SUMPRODUCT(--ISNUMBER(SEARCH(" "&amp;$CR$1977:$CR$1990&amp;" ",$AA25)))),"")</f>
        <v>0</v>
      </c>
      <c r="BS25" s="581">
        <f>IF(25=25,IF($U25="","",SUMPRODUCT(--ISNUMBER(SEARCH(" "&amp;$CR$1991:$CR$2005&amp;" ",$AA25)))),"")</f>
        <v>0</v>
      </c>
      <c r="BT25" s="581" t="str">
        <f>IF(25=25,IF($U25="","",IF((BR25)-(0)&gt;0,"X",IF((BS25)-(0)&gt;0,"?",""))),"")</f>
        <v/>
      </c>
      <c r="BU25" s="581">
        <f>IF(25=25,IF($U25="","",SUMPRODUCT(--ISNUMBER(SEARCH(" "&amp;$CR$2006:$CR$2023&amp;" ",$AA25)))),"")</f>
        <v>0</v>
      </c>
      <c r="BV25" s="581">
        <f>IF(25=25,IF($U25="","",SUMPRODUCT(--ISNUMBER(SEARCH(" "&amp;$CR$2024:$CR$2038&amp;" ",$AA25)))),"")</f>
        <v>0</v>
      </c>
      <c r="BW25" s="581" t="str">
        <f>IF(25=25,IF($U25="","",IF((BU25)-(0)&gt;0,"X",IF((BV25)-(0)&gt;0,"?",""))),"")</f>
        <v/>
      </c>
      <c r="BX25" s="581">
        <f>IF(25=25,IF($U25="","",SUMPRODUCT(--ISNUMBER(SEARCH(" "&amp;$CR$2039:$CR$2057&amp;" ",$AA25)))),"")</f>
        <v>0</v>
      </c>
      <c r="BY25" s="581">
        <f>IF(25=25,IF($U25="","",SUMPRODUCT(--ISNUMBER(SEARCH(" "&amp;$CR$2058:$CR$2072&amp;" ",$AA25)))),"")</f>
        <v>0</v>
      </c>
      <c r="BZ25" s="581" t="str">
        <f>IF(25=25,IF($U25="","",IF((BX25)-(0)&gt;0,"X",IF((BY25)-(0)&gt;0,"?",""))),"")</f>
        <v/>
      </c>
      <c r="CA25" s="581">
        <f>IF(25=25,IF($U25="","",SUMPRODUCT(--ISNUMBER(SEARCH(" "&amp;$CR$2073:$CR$2093&amp;" ",$AA25)))),"")</f>
        <v>0</v>
      </c>
      <c r="CB25" s="581">
        <f>IF(25=25,IF($U25="","",SUMPRODUCT(--ISNUMBER(SEARCH(" "&amp;$CR$2094:$CR$2133&amp;" ",SUBSTITUTE(SUBSTITUTE($AA25," "&amp;$CR$1367&amp;" "," ")," "&amp;$CR$1366&amp;" "," "))))+--ISNUMBER(SEARCH("poiré",$V25))),"")</f>
        <v>0</v>
      </c>
      <c r="CC25" s="581" t="str">
        <f>IF(25=25,IF($U25="","",IF(OR(CA25&gt;0,ISNUMBER(SEARCH(" vinaigre de vin ",$AA25)),ISNUMBER(SEARCH(" vinaigre au vin ",$AA25))),"X",IF(CB25&gt;0,"?",""))),"")</f>
        <v/>
      </c>
      <c r="CD25" s="581">
        <f>IF(25=25,IF($U25="","",SUMPRODUCT(--ISNUMBER(SEARCH(" "&amp;$CR$2134:$CR$2146&amp;" ",$AA25)))),"")</f>
        <v>0</v>
      </c>
      <c r="CE25" s="581">
        <f>IF(25=25,IF($U25="","",SUMPRODUCT(--ISNUMBER(SEARCH(" "&amp;$CR$2147:$CR$2152&amp;" ",$AA25)))),"")</f>
        <v>0</v>
      </c>
      <c r="CF25" s="581" t="str">
        <f>IF(25=25,IF($U25="","",IF((CD25)-(0)&gt;0,"X",IF((CE25)-(0)&gt;0,"?",""))),"")</f>
        <v/>
      </c>
      <c r="CG25" s="581">
        <f>IF(25=25,IF($U25="","",SUMPRODUCT(--ISNUMBER(SEARCH(" "&amp;$CR$2153:$CR$2252&amp;" ",$CJ25)))),"")</f>
        <v>0</v>
      </c>
      <c r="CH25" s="581">
        <f>IF(25=25,IF($U25="","",SUMPRODUCT(--ISNUMBER(SEARCH(" "&amp;$CR$2253:$CR$2352&amp;" ",$CJ25)))),"")</f>
        <v>0</v>
      </c>
      <c r="CI25" s="581">
        <f>IF(25=25,IF($U25="","",SUMPRODUCT(--ISNUMBER(SEARCH(" "&amp;$CR$2353:$CR$2395&amp;" ",$CJ25)))),"")</f>
        <v>0</v>
      </c>
      <c r="CJ25" s="581"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beurre ou margarine </v>
      </c>
      <c r="CK25" s="581">
        <f>IF(25=25,IF($U25="","",SUMPRODUCT(--ISNUMBER(SEARCH(" "&amp;$CR$2412:$CR$2416&amp;" ",$CJ25)))),"")</f>
        <v>0</v>
      </c>
      <c r="CL25" s="581" t="str">
        <f>IF(25=25,IF($U25="","",IF(SUM(CG25:CI25)&gt;0,"X",IF(CK25&gt;0,"?",""))),"")</f>
        <v/>
      </c>
      <c r="CM25" s="582"/>
      <c r="CN25" s="584" t="s">
        <v>2040</v>
      </c>
      <c r="CO25" s="584" t="s">
        <v>1887</v>
      </c>
      <c r="CP25" s="584" t="s">
        <v>1888</v>
      </c>
      <c r="CQ25" s="584" t="s">
        <v>2041</v>
      </c>
      <c r="CR25" s="584" t="s">
        <v>2041</v>
      </c>
      <c r="CS25" s="584" t="s">
        <v>1890</v>
      </c>
      <c r="CT25" s="584" t="s">
        <v>1891</v>
      </c>
      <c r="CU25" s="584" t="s">
        <v>1892</v>
      </c>
      <c r="CV25" s="585" t="s">
        <v>1893</v>
      </c>
    </row>
    <row r="26" spans="1:100" ht="21.95" customHeight="1" x14ac:dyDescent="0.25">
      <c r="A26" s="597">
        <v>20</v>
      </c>
      <c r="B26" s="598" t="s">
        <v>2042</v>
      </c>
      <c r="C26" s="599" t="str">
        <f t="shared" si="0"/>
        <v>gelatine</v>
      </c>
      <c r="D26" s="600"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601" t="str">
        <f>IF(26=26,IF($B26="","",AF26),"")</f>
        <v/>
      </c>
      <c r="F26" s="601" t="str">
        <f>IF(26=26,IF($B26="","",AI26),"")</f>
        <v/>
      </c>
      <c r="G26" s="601" t="str">
        <f>IF(26=26,IF($B26="","",AM26),"")</f>
        <v/>
      </c>
      <c r="H26" s="601" t="str">
        <f>IF(26=26,IF($B26="","",AZ26),"")</f>
        <v/>
      </c>
      <c r="I26" s="601" t="str">
        <f>IF(26=26,IF($B26="","",BB26),"")</f>
        <v/>
      </c>
      <c r="J26" s="601" t="str">
        <f>IF(26=26,IF($B26="","",BF26),"")</f>
        <v/>
      </c>
      <c r="K26" s="601" t="str">
        <f>IF(26=26,IF($B26="","",BM26),"")</f>
        <v/>
      </c>
      <c r="L26" s="601" t="str">
        <f>IF(26=26,IF($B26="","",BQ26),"")</f>
        <v/>
      </c>
      <c r="M26" s="601" t="str">
        <f>IF(26=26,IF($B26="","",BT26),"")</f>
        <v/>
      </c>
      <c r="N26" s="601" t="str">
        <f>IF(26=26,IF($B26="","",BW26),"")</f>
        <v/>
      </c>
      <c r="O26" s="601" t="str">
        <f>IF(26=26,IF($B26="","",BZ26),"")</f>
        <v/>
      </c>
      <c r="P26" s="601" t="str">
        <f>IF(26=26,IF($B26="","",CC26),"")</f>
        <v/>
      </c>
      <c r="Q26" s="601" t="str">
        <f>IF(26=26,IF($B26="","",CF26),"")</f>
        <v/>
      </c>
      <c r="R26" s="601" t="str">
        <f>IF(26=26,IF($B26="","",CL26),"")</f>
        <v/>
      </c>
      <c r="S26" s="602"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581" t="str">
        <f>IF(26=26,IF($B26="","",$B26),"")</f>
        <v>gelatine</v>
      </c>
      <c r="V26" s="581" t="str">
        <f>IF(26=26,LOWER(CLEAN(SUBSTITUTE(SUBSTITUTE(SUBSTITUTE(SUBSTITUTE($U26,CHAR(160)," ")," "," "),CHAR(10)," "),CHAR(13)," "))),"")</f>
        <v>gelatine</v>
      </c>
      <c r="W26" s="581" t="str">
        <f>IF(26=26,SUBSTITUTE(SUBSTITUTE(SUBSTITUTE(SUBSTITUTE(SUBSTITUTE(SUBSTITUTE(SUBSTITUTE(SUBSTITUTE(SUBSTITUTE(SUBSTITUTE(SUBSTITUTE(SUBSTITUTE($V26,"œ","oe"),"æ","ae"),"à","a"),"á","a"),"â","a"),"ä","a"),"ã","a"),"ç","c"),"è","e"),"é","e"),"ê","e"),"ë","e"),"")</f>
        <v>gelatine</v>
      </c>
      <c r="X26" s="581" t="str">
        <f>IF(26=26,SUBSTITUTE(SUBSTITUTE(SUBSTITUTE(SUBSTITUTE(SUBSTITUTE(SUBSTITUTE(SUBSTITUTE(SUBSTITUTE(SUBSTITUTE(SUBSTITUTE(SUBSTITUTE(SUBSTITUTE(SUBSTITUTE(SUBSTITUTE(SUBSTITUTE(SUBSTITUTE($W26,"ì","i"),"í","i"),"î","i"),"ï","i"),"ñ","n"),"ò","o"),"ó","o"),"ô","o"),"ö","o"),"õ","o"),"ù","u"),"ú","u"),"û","u"),"ü","u"),"ý","y"),"ÿ","y"),"")</f>
        <v>gelatine</v>
      </c>
      <c r="Y26" s="581" t="str">
        <f>IF(26=26,SUBSTITUTE(SUBSTITUTE(SUBSTITUTE(SUBSTITUTE(SUBSTITUTE(SUBSTITUTE(SUBSTITUTE(SUBSTITUTE(SUBSTITUTE(SUBSTITUTE(SUBSTITUTE(SUBSTITUTE(SUBSTITUTE(SUBSTITUTE($X26,"’"," "),"`"," "),"–"," "),"—"," "),"-"," "),"'"," "),"/"," "),"_"," "),","," "),"."," "),"("," "),")"," "),";"," "),":"," "),"")</f>
        <v>gelatine</v>
      </c>
      <c r="Z26" s="581" t="str">
        <f>IF(26=26,SUBSTITUTE(SUBSTITUTE(SUBSTITUTE(SUBSTITUTE(SUBSTITUTE(SUBSTITUTE(SUBSTITUTE(SUBSTITUTE(SUBSTITUTE(SUBSTITUTE(SUBSTITUTE(SUBSTITUTE(SUBSTITUTE(SUBSTITUTE(SUBSTITUTE($Y26,"!"," "),"?"," "),"+"," "),"*"," "),"&amp;"," "),"["," "),"]"," "),"{"," "),"}"," "),"%"," "),"="," "),"\"," "),"|"," "),"&lt;"," "),"&gt;"," "),"")</f>
        <v>gelatine</v>
      </c>
      <c r="AA26" s="581" t="str">
        <f>IF(26=26," "&amp;TRIM(SUBSTITUTE(SUBSTITUTE(SUBSTITUTE(SUBSTITUTE(SUBSTITUTE(SUBSTITUTE($Z26,CHAR(34)," "),"  "," "),"  "," "),"  "," "),"  "," "),"  "," "))&amp;" ","")</f>
        <v xml:space="preserve"> gelatine </v>
      </c>
      <c r="AB26" s="581">
        <f>IF(26=26,IF($U26="","",SUMPRODUCT(--ISNUMBER(SEARCH(" "&amp;$CR$2:$CR$101&amp;" ",$AD26)))),"")</f>
        <v>0</v>
      </c>
      <c r="AC26" s="581">
        <f>IF(26=26,IF($U26="","",SUMPRODUCT(--ISNUMBER(SEARCH(" "&amp;$CR$102:$CR$151&amp;" ",$AD26)))),"")</f>
        <v>0</v>
      </c>
      <c r="AD26" s="581" t="e">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6" s="581">
        <f>IF(26=26,IF($U26="","",SUMPRODUCT(--ISNUMBER(SEARCH(" "&amp;$CR$184:$CR$205&amp;" ",$AD26)))),"")</f>
        <v>0</v>
      </c>
      <c r="AF26" s="581" t="str">
        <f>IF(26=26,IF($U26="","",IF(SUM(AB26:AC26)+SUMPRODUCT(--ISNUMBER(SEARCH(" "&amp;$CR$2418:$CR$2420&amp;" ",$AD26)))&gt;0,"X",IF(AE26&gt;0,"?",""))),"")</f>
        <v/>
      </c>
      <c r="AG26" s="581">
        <f>IF(26=26,IF($U26="","",SUMPRODUCT(--ISNUMBER(SEARCH(" "&amp;$CR$206:$CR$305&amp;" ",$AA26)))),"")</f>
        <v>0</v>
      </c>
      <c r="AH26" s="581">
        <f>IF(26=26,IF($U26="","",SUMPRODUCT(--ISNUMBER(SEARCH(" "&amp;$CR$306:$CR$340&amp;" ",$AA26)))),"")</f>
        <v>0</v>
      </c>
      <c r="AI26" s="581" t="str">
        <f>IF(26=26,IF($U26="","",IF((SUM(AG26:AH26))-(0)&gt;0,"X",IF((0)-(0)&gt;0,"?",""))),"")</f>
        <v/>
      </c>
      <c r="AJ26" s="581">
        <f>IF(26=26,IF($U26="","",SUMPRODUCT(--ISNUMBER(SEARCH(" "&amp;$CR$341:$CR$398&amp;" ",$AA26)))),"")</f>
        <v>0</v>
      </c>
      <c r="AK26" s="581">
        <f>IF(26=26,IF($U26="","",SUMPRODUCT(--ISNUMBER(SEARCH(" "&amp;$CR$399:$CR$426&amp;" ",$AL26)))+SUMPRODUCT(--ISNUMBER(SEARCH(" "&amp;$CR$2440:$CR$2453&amp;" ",$AL26)))),"")</f>
        <v>0</v>
      </c>
      <c r="AL26" s="581" t="str">
        <f>IF(26=26,IF($U26="","",SUBSTITUTE(SUBSTITUTE(SUBSTITUTE(SUBSTITUTE(SUBSTITUTE(SUBSTITUTE(SUBSTITUTE(SUBSTITUTE(SUBSTITUTE(SUBSTITUTE(SUBSTITUTE(SUBSTITUTE(SUBSTITUTE($AA26," "&amp;$CR$433&amp;" "," ")," "&amp;$CR$431&amp;" "," ")," "&amp;$CR$2438&amp;" "," ")," "&amp;$CR$2439&amp;" "," ")," "&amp;$CR$428&amp;" "," ")," "&amp;$CR$432&amp;" "," ")," "&amp;$CR$434&amp;" "," ")," "&amp;$CR$429&amp;" "," ")," "&amp;$CR$427&amp;" "," ")," "&amp;$CR$1367&amp;" "," ")," "&amp;$CR$435&amp;" "," ")," "&amp;$CR$1366&amp;" "," ")," "&amp;$CR$430&amp;" "," ")),"")</f>
        <v xml:space="preserve"> gelatine </v>
      </c>
      <c r="AM26" s="581" t="str">
        <f>IF(26=26,IF($U26="","",IF(AJ26&gt;0,"X",IF(AK26&gt;0,"?",""))),"")</f>
        <v/>
      </c>
      <c r="AN26" s="581">
        <f>IF(26=26,IF($U26="","",SUMPRODUCT(--ISNUMBER(SEARCH(" "&amp;$CR$436:$CR$535&amp;" ",$AX26)))),"")</f>
        <v>0</v>
      </c>
      <c r="AO26" s="581">
        <f>IF(26=26,IF($U26="","",SUMPRODUCT(--ISNUMBER(SEARCH(" "&amp;$CR$536:$CR$635&amp;" ",$AX26)))),"")</f>
        <v>0</v>
      </c>
      <c r="AP26" s="581">
        <f>IF(26=26,IF($U26="","",SUMPRODUCT(--ISNUMBER(SEARCH(" "&amp;$CR$636:$CR$735&amp;" ",$AX26)))),"")</f>
        <v>0</v>
      </c>
      <c r="AQ26" s="581">
        <f>IF(26=26,IF($U26="","",SUMPRODUCT(--ISNUMBER(SEARCH(" "&amp;$CR$736:$CR$835&amp;" ",$AX26)))),"")</f>
        <v>0</v>
      </c>
      <c r="AR26" s="581">
        <f>IF(26=26,IF($U26="","",SUMPRODUCT(--ISNUMBER(SEARCH(" "&amp;$CR$836:$CR$935&amp;" ",$AX26)))),"")</f>
        <v>0</v>
      </c>
      <c r="AS26" s="581">
        <f>IF(26=26,IF($U26="","",SUMPRODUCT(--ISNUMBER(SEARCH(" "&amp;$CR$936:$CR$1035&amp;" ",$AX26)))),"")</f>
        <v>0</v>
      </c>
      <c r="AT26" s="581">
        <f>IF(26=26,IF($U26="","",SUMPRODUCT(--ISNUMBER(SEARCH(" "&amp;$CR$1036:$CR$1135&amp;" ",$AX26)))),"")</f>
        <v>0</v>
      </c>
      <c r="AU26" s="581">
        <f>IF(26=26,IF($U26="","",SUMPRODUCT(--ISNUMBER(SEARCH(" "&amp;$CR$1136:$CR$1235&amp;" ",$AX26)))),"")</f>
        <v>0</v>
      </c>
      <c r="AV26" s="581">
        <f>IF(26=26,IF($U26="","",SUMPRODUCT(--ISNUMBER(SEARCH(" "&amp;$CR$1236:$CR$1335&amp;" ",$AX26)))),"")</f>
        <v>0</v>
      </c>
      <c r="AW26" s="581">
        <f>IF(26=26,IF($U26="","",SUMPRODUCT(--ISNUMBER(SEARCH(" "&amp;$CR$1336:$CR$1363&amp;" ",$AX26)))),"")</f>
        <v>0</v>
      </c>
      <c r="AX26" s="581" t="str">
        <f>IF(26=26,IF($U26="","",SUBSTITUTE(SUBSTITUTE(SUBSTITUTE(SUBSTITUTE(SUBSTITUTE(SUBSTITUTE(SUBSTITUTE(SUBSTITUTE(SUBSTITUTE($AA26," "&amp;$CR$1365&amp;" "," ")," "&amp;$CR$1364&amp;" "," ")," "&amp;$CR$1370&amp;" "," ")," "&amp;$CR$1371&amp;" "," ")," "&amp;$CR$1367&amp;" "," ")," "&amp;$CR$1369&amp;" "," ")," "&amp;$CR$1366&amp;" "," ")," "&amp;$CR$1368&amp;" "," ")," "&amp;$CR$1372&amp;" "," ")),"")</f>
        <v xml:space="preserve"> gelatine </v>
      </c>
      <c r="AY26" s="581">
        <f>IF(26=26,IF($U26="","",SUMPRODUCT(--ISNUMBER(SEARCH(" "&amp;$CR$1373:$CR$1383&amp;" ",$AX26)))),"")</f>
        <v>0</v>
      </c>
      <c r="AZ26" s="581" t="str">
        <f>IF(26=26,IF($U26="","",IF(SUM(AN26:AW26)+SUMPRODUCT(--ISNUMBER(SEARCH(" "&amp;$CR$2421:$CR$2422&amp;" ",$AX26)))&gt;0,"X",IF(AY26&gt;0,"?",""))),"")</f>
        <v/>
      </c>
      <c r="BA26" s="581">
        <f>IF(26=26,IF($U26="","",SUMPRODUCT(--ISNUMBER(SEARCH(" "&amp;$CR$1384:$CR$1404&amp;" ",$AA26)))),"")</f>
        <v>0</v>
      </c>
      <c r="BB26" s="581" t="str">
        <f>IF(26=26,IF($U26="","",IF((BA26)-(0)&gt;0,"X",IF((0)-(0)&gt;0,"?",""))),"")</f>
        <v/>
      </c>
      <c r="BC26" s="581">
        <f>IF(26=26,IF($U26="","",SUMPRODUCT(--ISNUMBER(SEARCH(" "&amp;$CR$1405:$CR$1442&amp;" ",$BD26)))),"")</f>
        <v>0</v>
      </c>
      <c r="BD26" s="581" t="str">
        <f>IF(26=26,IF($U26="","",SUBSTITUTE(SUBSTITUTE($AA26," "&amp;$CR$1443&amp;" "," ")," "&amp;$CR$1444&amp;" "," ")),"")</f>
        <v xml:space="preserve"> gelatine </v>
      </c>
      <c r="BE26" s="581">
        <f>IF(26=26,IF($U26="","",SUMPRODUCT(--ISNUMBER(SEARCH(" "&amp;$CR$1445:$CR$1455&amp;" ",$BD26)))),"")</f>
        <v>0</v>
      </c>
      <c r="BF26" s="581" t="str">
        <f>IF(26=26,IF($U26="","",IF(BC26&gt;0,"X",IF(BE26&gt;0,"?",""))),"")</f>
        <v/>
      </c>
      <c r="BG26" s="581">
        <f>IF(26=26,IF($U26="","",SUMPRODUCT(--ISNUMBER(SEARCH(" "&amp;$CR$1456:$CR$1555&amp;" ",$BJ26)))),"")</f>
        <v>0</v>
      </c>
      <c r="BH26" s="581">
        <f>IF(26=26,IF($U26="","",SUMPRODUCT(--ISNUMBER(SEARCH(" "&amp;$CR$1556:$CR$1655&amp;" ",$BJ26)))),"")</f>
        <v>0</v>
      </c>
      <c r="BI26" s="581">
        <f>IF(26=26,IF($U26="","",SUMPRODUCT(--ISNUMBER(SEARCH(" "&amp;$CR$1656:$CR$1739&amp;" ",$BJ26)))),"")</f>
        <v>0</v>
      </c>
      <c r="BJ26" s="581"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gelatine </v>
      </c>
      <c r="BK26" s="581">
        <f>IF(26=26,IF($U26="","",SUMPRODUCT(--ISNUMBER(SEARCH(" "&amp;$CR$1790:$CR$1869&amp;" ",$BL26)))+SUMPRODUCT(--ISNUMBER(SEARCH(" "&amp;$CR$2440:$CR$2453&amp;" ",$BL26)))),"")</f>
        <v>0</v>
      </c>
      <c r="BL26" s="581"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gelatine </v>
      </c>
      <c r="BM26" s="581" t="str">
        <f>IF(26=26,IF($U26="","",IF(SUM(BG26:BI26)+SUMPRODUCT(--ISNUMBER(SEARCH(" "&amp;$CR$2423:$CR$2424&amp;" ",$BJ26)))&gt;0,"X",IF(BK26&gt;0,"?",""))),"")</f>
        <v/>
      </c>
      <c r="BN26" s="581">
        <f>IF(26=26,IF($U26="","",SUMPRODUCT(--ISNUMBER(SEARCH(" "&amp;$CR$1879:$CR$1936&amp;" ",$BO26)))),"")</f>
        <v>0</v>
      </c>
      <c r="BO26" s="581"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gelatine </v>
      </c>
      <c r="BP26" s="581">
        <f>IF(26=26,IF($U26="","",SUMPRODUCT(--ISNUMBER(SEARCH(" "&amp;$CR$1960:$CR$1976&amp;" ",$BO26)))),"")</f>
        <v>0</v>
      </c>
      <c r="BQ26" s="581" t="str">
        <f>IF(26=26,IF($U26="","",IF(BN26&gt;0,"X",IF(BP26&gt;0,"?",""))),"")</f>
        <v/>
      </c>
      <c r="BR26" s="581">
        <f>IF(26=26,IF($U26="","",SUMPRODUCT(--ISNUMBER(SEARCH(" "&amp;$CR$1977:$CR$1990&amp;" ",$AA26)))),"")</f>
        <v>0</v>
      </c>
      <c r="BS26" s="581">
        <f>IF(26=26,IF($U26="","",SUMPRODUCT(--ISNUMBER(SEARCH(" "&amp;$CR$1991:$CR$2005&amp;" ",$AA26)))),"")</f>
        <v>0</v>
      </c>
      <c r="BT26" s="581" t="str">
        <f>IF(26=26,IF($U26="","",IF((BR26)-(0)&gt;0,"X",IF((BS26)-(0)&gt;0,"?",""))),"")</f>
        <v/>
      </c>
      <c r="BU26" s="581">
        <f>IF(26=26,IF($U26="","",SUMPRODUCT(--ISNUMBER(SEARCH(" "&amp;$CR$2006:$CR$2023&amp;" ",$AA26)))),"")</f>
        <v>0</v>
      </c>
      <c r="BV26" s="581">
        <f>IF(26=26,IF($U26="","",SUMPRODUCT(--ISNUMBER(SEARCH(" "&amp;$CR$2024:$CR$2038&amp;" ",$AA26)))),"")</f>
        <v>0</v>
      </c>
      <c r="BW26" s="581" t="str">
        <f>IF(26=26,IF($U26="","",IF((BU26)-(0)&gt;0,"X",IF((BV26)-(0)&gt;0,"?",""))),"")</f>
        <v/>
      </c>
      <c r="BX26" s="581">
        <f>IF(26=26,IF($U26="","",SUMPRODUCT(--ISNUMBER(SEARCH(" "&amp;$CR$2039:$CR$2057&amp;" ",$AA26)))),"")</f>
        <v>0</v>
      </c>
      <c r="BY26" s="581">
        <f>IF(26=26,IF($U26="","",SUMPRODUCT(--ISNUMBER(SEARCH(" "&amp;$CR$2058:$CR$2072&amp;" ",$AA26)))),"")</f>
        <v>0</v>
      </c>
      <c r="BZ26" s="581" t="str">
        <f>IF(26=26,IF($U26="","",IF((BX26)-(0)&gt;0,"X",IF((BY26)-(0)&gt;0,"?",""))),"")</f>
        <v/>
      </c>
      <c r="CA26" s="581">
        <f>IF(26=26,IF($U26="","",SUMPRODUCT(--ISNUMBER(SEARCH(" "&amp;$CR$2073:$CR$2093&amp;" ",$AA26)))),"")</f>
        <v>0</v>
      </c>
      <c r="CB26" s="581">
        <f>IF(26=26,IF($U26="","",SUMPRODUCT(--ISNUMBER(SEARCH(" "&amp;$CR$2094:$CR$2133&amp;" ",SUBSTITUTE(SUBSTITUTE($AA26," "&amp;$CR$1367&amp;" "," ")," "&amp;$CR$1366&amp;" "," "))))+--ISNUMBER(SEARCH("poiré",$V26))),"")</f>
        <v>0</v>
      </c>
      <c r="CC26" s="581" t="str">
        <f>IF(26=26,IF($U26="","",IF(OR(CA26&gt;0,ISNUMBER(SEARCH(" vinaigre de vin ",$AA26)),ISNUMBER(SEARCH(" vinaigre au vin ",$AA26))),"X",IF(CB26&gt;0,"?",""))),"")</f>
        <v/>
      </c>
      <c r="CD26" s="581">
        <f>IF(26=26,IF($U26="","",SUMPRODUCT(--ISNUMBER(SEARCH(" "&amp;$CR$2134:$CR$2146&amp;" ",$AA26)))),"")</f>
        <v>0</v>
      </c>
      <c r="CE26" s="581">
        <f>IF(26=26,IF($U26="","",SUMPRODUCT(--ISNUMBER(SEARCH(" "&amp;$CR$2147:$CR$2152&amp;" ",$AA26)))),"")</f>
        <v>0</v>
      </c>
      <c r="CF26" s="581" t="str">
        <f>IF(26=26,IF($U26="","",IF((CD26)-(0)&gt;0,"X",IF((CE26)-(0)&gt;0,"?",""))),"")</f>
        <v/>
      </c>
      <c r="CG26" s="581">
        <f>IF(26=26,IF($U26="","",SUMPRODUCT(--ISNUMBER(SEARCH(" "&amp;$CR$2153:$CR$2252&amp;" ",$CJ26)))),"")</f>
        <v>0</v>
      </c>
      <c r="CH26" s="581">
        <f>IF(26=26,IF($U26="","",SUMPRODUCT(--ISNUMBER(SEARCH(" "&amp;$CR$2253:$CR$2352&amp;" ",$CJ26)))),"")</f>
        <v>0</v>
      </c>
      <c r="CI26" s="581">
        <f>IF(26=26,IF($U26="","",SUMPRODUCT(--ISNUMBER(SEARCH(" "&amp;$CR$2353:$CR$2395&amp;" ",$CJ26)))),"")</f>
        <v>0</v>
      </c>
      <c r="CJ26" s="581"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gelatine </v>
      </c>
      <c r="CK26" s="581">
        <f>IF(26=26,IF($U26="","",SUMPRODUCT(--ISNUMBER(SEARCH(" "&amp;$CR$2412:$CR$2416&amp;" ",$CJ26)))),"")</f>
        <v>0</v>
      </c>
      <c r="CL26" s="581" t="str">
        <f>IF(26=26,IF($U26="","",IF(SUM(CG26:CI26)&gt;0,"X",IF(CK26&gt;0,"?",""))),"")</f>
        <v/>
      </c>
      <c r="CM26" s="582"/>
      <c r="CN26" s="584" t="s">
        <v>2043</v>
      </c>
      <c r="CO26" s="584" t="s">
        <v>1887</v>
      </c>
      <c r="CP26" s="584" t="s">
        <v>1888</v>
      </c>
      <c r="CQ26" s="584" t="s">
        <v>2044</v>
      </c>
      <c r="CR26" s="584" t="s">
        <v>2044</v>
      </c>
      <c r="CS26" s="584" t="s">
        <v>1890</v>
      </c>
      <c r="CT26" s="584" t="s">
        <v>1891</v>
      </c>
      <c r="CU26" s="584" t="s">
        <v>1892</v>
      </c>
      <c r="CV26" s="585" t="s">
        <v>1893</v>
      </c>
    </row>
    <row r="27" spans="1:100" ht="21.95" customHeight="1" x14ac:dyDescent="0.25">
      <c r="A27" s="597">
        <v>21</v>
      </c>
      <c r="B27" s="598" t="s">
        <v>2045</v>
      </c>
      <c r="C27" s="599" t="str">
        <f t="shared" si="0"/>
        <v>TOMATE ET MOZARELLA AU BASILIC *</v>
      </c>
      <c r="D27" s="600"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Lait</v>
      </c>
      <c r="E27" s="601" t="str">
        <f>IF(27=27,IF($B27="","",AF27),"")</f>
        <v/>
      </c>
      <c r="F27" s="601" t="str">
        <f>IF(27=27,IF($B27="","",AI27),"")</f>
        <v/>
      </c>
      <c r="G27" s="601" t="str">
        <f>IF(27=27,IF($B27="","",AM27),"")</f>
        <v/>
      </c>
      <c r="H27" s="601" t="str">
        <f>IF(27=27,IF($B27="","",AZ27),"")</f>
        <v/>
      </c>
      <c r="I27" s="601" t="str">
        <f>IF(27=27,IF($B27="","",BB27),"")</f>
        <v/>
      </c>
      <c r="J27" s="601" t="str">
        <f>IF(27=27,IF($B27="","",BF27),"")</f>
        <v/>
      </c>
      <c r="K27" s="601" t="str">
        <f>IF(27=27,IF($B27="","",BM27),"")</f>
        <v>X</v>
      </c>
      <c r="L27" s="601" t="str">
        <f>IF(27=27,IF($B27="","",BQ27),"")</f>
        <v/>
      </c>
      <c r="M27" s="601" t="str">
        <f>IF(27=27,IF($B27="","",BT27),"")</f>
        <v/>
      </c>
      <c r="N27" s="601" t="str">
        <f>IF(27=27,IF($B27="","",BW27),"")</f>
        <v/>
      </c>
      <c r="O27" s="601" t="str">
        <f>IF(27=27,IF($B27="","",BZ27),"")</f>
        <v/>
      </c>
      <c r="P27" s="601" t="str">
        <f>IF(27=27,IF($B27="","",CC27),"")</f>
        <v/>
      </c>
      <c r="Q27" s="601" t="str">
        <f>IF(27=27,IF($B27="","",CF27),"")</f>
        <v/>
      </c>
      <c r="R27" s="601" t="str">
        <f>IF(27=27,IF($B27="","",CL27),"")</f>
        <v/>
      </c>
      <c r="S27" s="602"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
      </c>
      <c r="U27" s="581" t="str">
        <f>IF(27=27,IF($B27="","",$B27),"")</f>
        <v>TOMATE ET MOZARELLA AU BASILIC</v>
      </c>
      <c r="V27" s="581" t="str">
        <f>IF(27=27,LOWER(CLEAN(SUBSTITUTE(SUBSTITUTE(SUBSTITUTE(SUBSTITUTE($U27,CHAR(160)," ")," "," "),CHAR(10)," "),CHAR(13)," "))),"")</f>
        <v>tomate et mozarella au basilic</v>
      </c>
      <c r="W27" s="581" t="str">
        <f>IF(27=27,SUBSTITUTE(SUBSTITUTE(SUBSTITUTE(SUBSTITUTE(SUBSTITUTE(SUBSTITUTE(SUBSTITUTE(SUBSTITUTE(SUBSTITUTE(SUBSTITUTE(SUBSTITUTE(SUBSTITUTE($V27,"œ","oe"),"æ","ae"),"à","a"),"á","a"),"â","a"),"ä","a"),"ã","a"),"ç","c"),"è","e"),"é","e"),"ê","e"),"ë","e"),"")</f>
        <v>tomate et mozarella au basilic</v>
      </c>
      <c r="X27" s="581" t="str">
        <f>IF(27=27,SUBSTITUTE(SUBSTITUTE(SUBSTITUTE(SUBSTITUTE(SUBSTITUTE(SUBSTITUTE(SUBSTITUTE(SUBSTITUTE(SUBSTITUTE(SUBSTITUTE(SUBSTITUTE(SUBSTITUTE(SUBSTITUTE(SUBSTITUTE(SUBSTITUTE(SUBSTITUTE($W27,"ì","i"),"í","i"),"î","i"),"ï","i"),"ñ","n"),"ò","o"),"ó","o"),"ô","o"),"ö","o"),"õ","o"),"ù","u"),"ú","u"),"û","u"),"ü","u"),"ý","y"),"ÿ","y"),"")</f>
        <v>tomate et mozarella au basilic</v>
      </c>
      <c r="Y27" s="581" t="str">
        <f>IF(27=27,SUBSTITUTE(SUBSTITUTE(SUBSTITUTE(SUBSTITUTE(SUBSTITUTE(SUBSTITUTE(SUBSTITUTE(SUBSTITUTE(SUBSTITUTE(SUBSTITUTE(SUBSTITUTE(SUBSTITUTE(SUBSTITUTE(SUBSTITUTE($X27,"’"," "),"`"," "),"–"," "),"—"," "),"-"," "),"'"," "),"/"," "),"_"," "),","," "),"."," "),"("," "),")"," "),";"," "),":"," "),"")</f>
        <v>tomate et mozarella au basilic</v>
      </c>
      <c r="Z27" s="581" t="str">
        <f>IF(27=27,SUBSTITUTE(SUBSTITUTE(SUBSTITUTE(SUBSTITUTE(SUBSTITUTE(SUBSTITUTE(SUBSTITUTE(SUBSTITUTE(SUBSTITUTE(SUBSTITUTE(SUBSTITUTE(SUBSTITUTE(SUBSTITUTE(SUBSTITUTE(SUBSTITUTE($Y27,"!"," "),"?"," "),"+"," "),"*"," "),"&amp;"," "),"["," "),"]"," "),"{"," "),"}"," "),"%"," "),"="," "),"\"," "),"|"," "),"&lt;"," "),"&gt;"," "),"")</f>
        <v>tomate et mozarella au basilic</v>
      </c>
      <c r="AA27" s="581" t="str">
        <f>IF(27=27," "&amp;TRIM(SUBSTITUTE(SUBSTITUTE(SUBSTITUTE(SUBSTITUTE(SUBSTITUTE(SUBSTITUTE($Z27,CHAR(34)," "),"  "," "),"  "," "),"  "," "),"  "," "),"  "," "))&amp;" ","")</f>
        <v xml:space="preserve"> tomate et mozarella au basilic </v>
      </c>
      <c r="AB27" s="581">
        <f>IF(27=27,IF($U27="","",SUMPRODUCT(--ISNUMBER(SEARCH(" "&amp;$CR$2:$CR$101&amp;" ",$AD27)))),"")</f>
        <v>0</v>
      </c>
      <c r="AC27" s="581">
        <f>IF(27=27,IF($U27="","",SUMPRODUCT(--ISNUMBER(SEARCH(" "&amp;$CR$102:$CR$151&amp;" ",$AD27)))),"")</f>
        <v>0</v>
      </c>
      <c r="AD27" s="581" t="e">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7" s="581">
        <f>IF(27=27,IF($U27="","",SUMPRODUCT(--ISNUMBER(SEARCH(" "&amp;$CR$184:$CR$205&amp;" ",$AD27)))),"")</f>
        <v>0</v>
      </c>
      <c r="AF27" s="581" t="str">
        <f>IF(27=27,IF($U27="","",IF(SUM(AB27:AC27)+SUMPRODUCT(--ISNUMBER(SEARCH(" "&amp;$CR$2418:$CR$2420&amp;" ",$AD27)))&gt;0,"X",IF(AE27&gt;0,"?",""))),"")</f>
        <v/>
      </c>
      <c r="AG27" s="581">
        <f>IF(27=27,IF($U27="","",SUMPRODUCT(--ISNUMBER(SEARCH(" "&amp;$CR$206:$CR$305&amp;" ",$AA27)))),"")</f>
        <v>0</v>
      </c>
      <c r="AH27" s="581">
        <f>IF(27=27,IF($U27="","",SUMPRODUCT(--ISNUMBER(SEARCH(" "&amp;$CR$306:$CR$340&amp;" ",$AA27)))),"")</f>
        <v>0</v>
      </c>
      <c r="AI27" s="581" t="str">
        <f>IF(27=27,IF($U27="","",IF((SUM(AG27:AH27))-(0)&gt;0,"X",IF((0)-(0)&gt;0,"?",""))),"")</f>
        <v/>
      </c>
      <c r="AJ27" s="581">
        <f>IF(27=27,IF($U27="","",SUMPRODUCT(--ISNUMBER(SEARCH(" "&amp;$CR$341:$CR$398&amp;" ",$AA27)))),"")</f>
        <v>0</v>
      </c>
      <c r="AK27" s="581">
        <f>IF(27=27,IF($U27="","",SUMPRODUCT(--ISNUMBER(SEARCH(" "&amp;$CR$399:$CR$426&amp;" ",$AL27)))+SUMPRODUCT(--ISNUMBER(SEARCH(" "&amp;$CR$2440:$CR$2453&amp;" ",$AL27)))),"")</f>
        <v>0</v>
      </c>
      <c r="AL27" s="581" t="str">
        <f>IF(27=27,IF($U27="","",SUBSTITUTE(SUBSTITUTE(SUBSTITUTE(SUBSTITUTE(SUBSTITUTE(SUBSTITUTE(SUBSTITUTE(SUBSTITUTE(SUBSTITUTE(SUBSTITUTE(SUBSTITUTE(SUBSTITUTE(SUBSTITUTE($AA27," "&amp;$CR$433&amp;" "," ")," "&amp;$CR$431&amp;" "," ")," "&amp;$CR$2438&amp;" "," ")," "&amp;$CR$2439&amp;" "," ")," "&amp;$CR$428&amp;" "," ")," "&amp;$CR$432&amp;" "," ")," "&amp;$CR$434&amp;" "," ")," "&amp;$CR$429&amp;" "," ")," "&amp;$CR$427&amp;" "," ")," "&amp;$CR$1367&amp;" "," ")," "&amp;$CR$435&amp;" "," ")," "&amp;$CR$1366&amp;" "," ")," "&amp;$CR$430&amp;" "," ")),"")</f>
        <v xml:space="preserve"> tomate et mozarella au basilic </v>
      </c>
      <c r="AM27" s="581" t="str">
        <f>IF(27=27,IF($U27="","",IF(AJ27&gt;0,"X",IF(AK27&gt;0,"?",""))),"")</f>
        <v/>
      </c>
      <c r="AN27" s="581">
        <f>IF(27=27,IF($U27="","",SUMPRODUCT(--ISNUMBER(SEARCH(" "&amp;$CR$436:$CR$535&amp;" ",$AX27)))),"")</f>
        <v>0</v>
      </c>
      <c r="AO27" s="581">
        <f>IF(27=27,IF($U27="","",SUMPRODUCT(--ISNUMBER(SEARCH(" "&amp;$CR$536:$CR$635&amp;" ",$AX27)))),"")</f>
        <v>0</v>
      </c>
      <c r="AP27" s="581">
        <f>IF(27=27,IF($U27="","",SUMPRODUCT(--ISNUMBER(SEARCH(" "&amp;$CR$636:$CR$735&amp;" ",$AX27)))),"")</f>
        <v>0</v>
      </c>
      <c r="AQ27" s="581">
        <f>IF(27=27,IF($U27="","",SUMPRODUCT(--ISNUMBER(SEARCH(" "&amp;$CR$736:$CR$835&amp;" ",$AX27)))),"")</f>
        <v>0</v>
      </c>
      <c r="AR27" s="581">
        <f>IF(27=27,IF($U27="","",SUMPRODUCT(--ISNUMBER(SEARCH(" "&amp;$CR$836:$CR$935&amp;" ",$AX27)))),"")</f>
        <v>0</v>
      </c>
      <c r="AS27" s="581">
        <f>IF(27=27,IF($U27="","",SUMPRODUCT(--ISNUMBER(SEARCH(" "&amp;$CR$936:$CR$1035&amp;" ",$AX27)))),"")</f>
        <v>0</v>
      </c>
      <c r="AT27" s="581">
        <f>IF(27=27,IF($U27="","",SUMPRODUCT(--ISNUMBER(SEARCH(" "&amp;$CR$1036:$CR$1135&amp;" ",$AX27)))),"")</f>
        <v>0</v>
      </c>
      <c r="AU27" s="581">
        <f>IF(27=27,IF($U27="","",SUMPRODUCT(--ISNUMBER(SEARCH(" "&amp;$CR$1136:$CR$1235&amp;" ",$AX27)))),"")</f>
        <v>0</v>
      </c>
      <c r="AV27" s="581">
        <f>IF(27=27,IF($U27="","",SUMPRODUCT(--ISNUMBER(SEARCH(" "&amp;$CR$1236:$CR$1335&amp;" ",$AX27)))),"")</f>
        <v>0</v>
      </c>
      <c r="AW27" s="581">
        <f>IF(27=27,IF($U27="","",SUMPRODUCT(--ISNUMBER(SEARCH(" "&amp;$CR$1336:$CR$1363&amp;" ",$AX27)))),"")</f>
        <v>0</v>
      </c>
      <c r="AX27" s="581" t="str">
        <f>IF(27=27,IF($U27="","",SUBSTITUTE(SUBSTITUTE(SUBSTITUTE(SUBSTITUTE(SUBSTITUTE(SUBSTITUTE(SUBSTITUTE(SUBSTITUTE(SUBSTITUTE($AA27," "&amp;$CR$1365&amp;" "," ")," "&amp;$CR$1364&amp;" "," ")," "&amp;$CR$1370&amp;" "," ")," "&amp;$CR$1371&amp;" "," ")," "&amp;$CR$1367&amp;" "," ")," "&amp;$CR$1369&amp;" "," ")," "&amp;$CR$1366&amp;" "," ")," "&amp;$CR$1368&amp;" "," ")," "&amp;$CR$1372&amp;" "," ")),"")</f>
        <v xml:space="preserve"> tomate et mozarella au basilic </v>
      </c>
      <c r="AY27" s="581">
        <f>IF(27=27,IF($U27="","",SUMPRODUCT(--ISNUMBER(SEARCH(" "&amp;$CR$1373:$CR$1383&amp;" ",$AX27)))),"")</f>
        <v>0</v>
      </c>
      <c r="AZ27" s="581" t="str">
        <f>IF(27=27,IF($U27="","",IF(SUM(AN27:AW27)+SUMPRODUCT(--ISNUMBER(SEARCH(" "&amp;$CR$2421:$CR$2422&amp;" ",$AX27)))&gt;0,"X",IF(AY27&gt;0,"?",""))),"")</f>
        <v/>
      </c>
      <c r="BA27" s="581">
        <f>IF(27=27,IF($U27="","",SUMPRODUCT(--ISNUMBER(SEARCH(" "&amp;$CR$1384:$CR$1404&amp;" ",$AA27)))),"")</f>
        <v>0</v>
      </c>
      <c r="BB27" s="581" t="str">
        <f>IF(27=27,IF($U27="","",IF((BA27)-(0)&gt;0,"X",IF((0)-(0)&gt;0,"?",""))),"")</f>
        <v/>
      </c>
      <c r="BC27" s="581">
        <f>IF(27=27,IF($U27="","",SUMPRODUCT(--ISNUMBER(SEARCH(" "&amp;$CR$1405:$CR$1442&amp;" ",$BD27)))),"")</f>
        <v>0</v>
      </c>
      <c r="BD27" s="581" t="str">
        <f>IF(27=27,IF($U27="","",SUBSTITUTE(SUBSTITUTE($AA27," "&amp;$CR$1443&amp;" "," ")," "&amp;$CR$1444&amp;" "," ")),"")</f>
        <v xml:space="preserve"> tomate et mozarella au basilic </v>
      </c>
      <c r="BE27" s="581">
        <f>IF(27=27,IF($U27="","",SUMPRODUCT(--ISNUMBER(SEARCH(" "&amp;$CR$1445:$CR$1455&amp;" ",$BD27)))),"")</f>
        <v>0</v>
      </c>
      <c r="BF27" s="581" t="str">
        <f>IF(27=27,IF($U27="","",IF(BC27&gt;0,"X",IF(BE27&gt;0,"?",""))),"")</f>
        <v/>
      </c>
      <c r="BG27" s="581">
        <f>IF(27=27,IF($U27="","",SUMPRODUCT(--ISNUMBER(SEARCH(" "&amp;$CR$1456:$CR$1555&amp;" ",$BJ27)))),"")</f>
        <v>0</v>
      </c>
      <c r="BH27" s="581">
        <f>IF(27=27,IF($U27="","",SUMPRODUCT(--ISNUMBER(SEARCH(" "&amp;$CR$1556:$CR$1655&amp;" ",$BJ27)))),"")</f>
        <v>0</v>
      </c>
      <c r="BI27" s="581">
        <f>IF(27=27,IF($U27="","",SUMPRODUCT(--ISNUMBER(SEARCH(" "&amp;$CR$1656:$CR$1739&amp;" ",$BJ27)))),"")</f>
        <v>0</v>
      </c>
      <c r="BJ27" s="581"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 et mozarella au basilic </v>
      </c>
      <c r="BK27" s="581">
        <f>IF(27=27,IF($U27="","",SUMPRODUCT(--ISNUMBER(SEARCH(" "&amp;$CR$1790:$CR$1869&amp;" ",$BL27)))+SUMPRODUCT(--ISNUMBER(SEARCH(" "&amp;$CR$2440:$CR$2453&amp;" ",$BL27)))),"")</f>
        <v>0</v>
      </c>
      <c r="BL27" s="581"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tomate et mozarella au basilic </v>
      </c>
      <c r="BM27" s="581" t="str">
        <f>IF(27=27,IF($U27="","",IF(SUM(BG27:BI27)+SUMPRODUCT(--ISNUMBER(SEARCH(" "&amp;$CR$2423:$CR$2424&amp;" ",$BJ27)))&gt;0,"X",IF(BK27&gt;0,"?",""))),"")</f>
        <v>X</v>
      </c>
      <c r="BN27" s="581">
        <f>IF(27=27,IF($U27="","",SUMPRODUCT(--ISNUMBER(SEARCH(" "&amp;$CR$1879:$CR$1936&amp;" ",$BO27)))),"")</f>
        <v>0</v>
      </c>
      <c r="BO27" s="581"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 et mozarella au basilic </v>
      </c>
      <c r="BP27" s="581">
        <f>IF(27=27,IF($U27="","",SUMPRODUCT(--ISNUMBER(SEARCH(" "&amp;$CR$1960:$CR$1976&amp;" ",$BO27)))),"")</f>
        <v>0</v>
      </c>
      <c r="BQ27" s="581" t="str">
        <f>IF(27=27,IF($U27="","",IF(BN27&gt;0,"X",IF(BP27&gt;0,"?",""))),"")</f>
        <v/>
      </c>
      <c r="BR27" s="581">
        <f>IF(27=27,IF($U27="","",SUMPRODUCT(--ISNUMBER(SEARCH(" "&amp;$CR$1977:$CR$1990&amp;" ",$AA27)))),"")</f>
        <v>0</v>
      </c>
      <c r="BS27" s="581">
        <f>IF(27=27,IF($U27="","",SUMPRODUCT(--ISNUMBER(SEARCH(" "&amp;$CR$1991:$CR$2005&amp;" ",$AA27)))),"")</f>
        <v>0</v>
      </c>
      <c r="BT27" s="581" t="str">
        <f>IF(27=27,IF($U27="","",IF((BR27)-(0)&gt;0,"X",IF((BS27)-(0)&gt;0,"?",""))),"")</f>
        <v/>
      </c>
      <c r="BU27" s="581">
        <f>IF(27=27,IF($U27="","",SUMPRODUCT(--ISNUMBER(SEARCH(" "&amp;$CR$2006:$CR$2023&amp;" ",$AA27)))),"")</f>
        <v>0</v>
      </c>
      <c r="BV27" s="581">
        <f>IF(27=27,IF($U27="","",SUMPRODUCT(--ISNUMBER(SEARCH(" "&amp;$CR$2024:$CR$2038&amp;" ",$AA27)))),"")</f>
        <v>0</v>
      </c>
      <c r="BW27" s="581" t="str">
        <f>IF(27=27,IF($U27="","",IF((BU27)-(0)&gt;0,"X",IF((BV27)-(0)&gt;0,"?",""))),"")</f>
        <v/>
      </c>
      <c r="BX27" s="581">
        <f>IF(27=27,IF($U27="","",SUMPRODUCT(--ISNUMBER(SEARCH(" "&amp;$CR$2039:$CR$2057&amp;" ",$AA27)))),"")</f>
        <v>0</v>
      </c>
      <c r="BY27" s="581">
        <f>IF(27=27,IF($U27="","",SUMPRODUCT(--ISNUMBER(SEARCH(" "&amp;$CR$2058:$CR$2072&amp;" ",$AA27)))),"")</f>
        <v>0</v>
      </c>
      <c r="BZ27" s="581" t="str">
        <f>IF(27=27,IF($U27="","",IF((BX27)-(0)&gt;0,"X",IF((BY27)-(0)&gt;0,"?",""))),"")</f>
        <v/>
      </c>
      <c r="CA27" s="581">
        <f>IF(27=27,IF($U27="","",SUMPRODUCT(--ISNUMBER(SEARCH(" "&amp;$CR$2073:$CR$2093&amp;" ",$AA27)))),"")</f>
        <v>0</v>
      </c>
      <c r="CB27" s="581">
        <f>IF(27=27,IF($U27="","",SUMPRODUCT(--ISNUMBER(SEARCH(" "&amp;$CR$2094:$CR$2133&amp;" ",SUBSTITUTE(SUBSTITUTE($AA27," "&amp;$CR$1367&amp;" "," ")," "&amp;$CR$1366&amp;" "," "))))+--ISNUMBER(SEARCH("poiré",$V27))),"")</f>
        <v>0</v>
      </c>
      <c r="CC27" s="581" t="str">
        <f>IF(27=27,IF($U27="","",IF(OR(CA27&gt;0,ISNUMBER(SEARCH(" vinaigre de vin ",$AA27)),ISNUMBER(SEARCH(" vinaigre au vin ",$AA27))),"X",IF(CB27&gt;0,"?",""))),"")</f>
        <v/>
      </c>
      <c r="CD27" s="581">
        <f>IF(27=27,IF($U27="","",SUMPRODUCT(--ISNUMBER(SEARCH(" "&amp;$CR$2134:$CR$2146&amp;" ",$AA27)))),"")</f>
        <v>0</v>
      </c>
      <c r="CE27" s="581">
        <f>IF(27=27,IF($U27="","",SUMPRODUCT(--ISNUMBER(SEARCH(" "&amp;$CR$2147:$CR$2152&amp;" ",$AA27)))),"")</f>
        <v>0</v>
      </c>
      <c r="CF27" s="581" t="str">
        <f>IF(27=27,IF($U27="","",IF((CD27)-(0)&gt;0,"X",IF((CE27)-(0)&gt;0,"?",""))),"")</f>
        <v/>
      </c>
      <c r="CG27" s="581">
        <f>IF(27=27,IF($U27="","",SUMPRODUCT(--ISNUMBER(SEARCH(" "&amp;$CR$2153:$CR$2252&amp;" ",$CJ27)))),"")</f>
        <v>0</v>
      </c>
      <c r="CH27" s="581">
        <f>IF(27=27,IF($U27="","",SUMPRODUCT(--ISNUMBER(SEARCH(" "&amp;$CR$2253:$CR$2352&amp;" ",$CJ27)))),"")</f>
        <v>0</v>
      </c>
      <c r="CI27" s="581">
        <f>IF(27=27,IF($U27="","",SUMPRODUCT(--ISNUMBER(SEARCH(" "&amp;$CR$2353:$CR$2395&amp;" ",$CJ27)))),"")</f>
        <v>0</v>
      </c>
      <c r="CJ27" s="581"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tomate et mozarella au basilic </v>
      </c>
      <c r="CK27" s="581">
        <f>IF(27=27,IF($U27="","",SUMPRODUCT(--ISNUMBER(SEARCH(" "&amp;$CR$2412:$CR$2416&amp;" ",$CJ27)))),"")</f>
        <v>0</v>
      </c>
      <c r="CL27" s="581" t="str">
        <f>IF(27=27,IF($U27="","",IF(SUM(CG27:CI27)&gt;0,"X",IF(CK27&gt;0,"?",""))),"")</f>
        <v/>
      </c>
      <c r="CM27" s="582"/>
      <c r="CN27" s="584" t="s">
        <v>2046</v>
      </c>
      <c r="CO27" s="584" t="s">
        <v>1887</v>
      </c>
      <c r="CP27" s="584" t="s">
        <v>1888</v>
      </c>
      <c r="CQ27" s="584" t="s">
        <v>2047</v>
      </c>
      <c r="CR27" s="584" t="s">
        <v>2048</v>
      </c>
      <c r="CS27" s="584" t="s">
        <v>1890</v>
      </c>
      <c r="CT27" s="584" t="s">
        <v>1891</v>
      </c>
      <c r="CU27" s="584" t="s">
        <v>1892</v>
      </c>
      <c r="CV27" s="585" t="s">
        <v>1893</v>
      </c>
    </row>
    <row r="28" spans="1:100" ht="21.95" customHeight="1" x14ac:dyDescent="0.25">
      <c r="A28" s="597">
        <v>22</v>
      </c>
      <c r="B28" s="598" t="s">
        <v>2049</v>
      </c>
      <c r="C28" s="599" t="str">
        <f t="shared" si="0"/>
        <v>Thon au naturel *</v>
      </c>
      <c r="D28" s="600"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601" t="str">
        <f>IF(28=28,IF($B28="","",AF28),"")</f>
        <v/>
      </c>
      <c r="F28" s="601" t="str">
        <f>IF(28=28,IF($B28="","",AI28),"")</f>
        <v/>
      </c>
      <c r="G28" s="601" t="str">
        <f>IF(28=28,IF($B28="","",AM28),"")</f>
        <v/>
      </c>
      <c r="H28" s="601" t="str">
        <f>IF(28=28,IF($B28="","",AZ28),"")</f>
        <v>X</v>
      </c>
      <c r="I28" s="601" t="str">
        <f>IF(28=28,IF($B28="","",BB28),"")</f>
        <v/>
      </c>
      <c r="J28" s="601" t="str">
        <f>IF(28=28,IF($B28="","",BF28),"")</f>
        <v/>
      </c>
      <c r="K28" s="601" t="str">
        <f>IF(28=28,IF($B28="","",BM28),"")</f>
        <v/>
      </c>
      <c r="L28" s="601" t="str">
        <f>IF(28=28,IF($B28="","",BQ28),"")</f>
        <v/>
      </c>
      <c r="M28" s="601" t="str">
        <f>IF(28=28,IF($B28="","",BT28),"")</f>
        <v/>
      </c>
      <c r="N28" s="601" t="str">
        <f>IF(28=28,IF($B28="","",BW28),"")</f>
        <v/>
      </c>
      <c r="O28" s="601" t="str">
        <f>IF(28=28,IF($B28="","",BZ28),"")</f>
        <v/>
      </c>
      <c r="P28" s="601" t="str">
        <f>IF(28=28,IF($B28="","",CC28),"")</f>
        <v/>
      </c>
      <c r="Q28" s="601" t="str">
        <f>IF(28=28,IF($B28="","",CF28),"")</f>
        <v/>
      </c>
      <c r="R28" s="601" t="str">
        <f>IF(28=28,IF($B28="","",CL28),"")</f>
        <v/>
      </c>
      <c r="S28" s="602"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581" t="str">
        <f>IF(28=28,IF($B28="","",$B28),"")</f>
        <v>Thon au naturel</v>
      </c>
      <c r="V28" s="581" t="str">
        <f>IF(28=28,LOWER(CLEAN(SUBSTITUTE(SUBSTITUTE(SUBSTITUTE(SUBSTITUTE($U28,CHAR(160)," ")," "," "),CHAR(10)," "),CHAR(13)," "))),"")</f>
        <v>thon au naturel</v>
      </c>
      <c r="W28" s="581" t="str">
        <f>IF(28=28,SUBSTITUTE(SUBSTITUTE(SUBSTITUTE(SUBSTITUTE(SUBSTITUTE(SUBSTITUTE(SUBSTITUTE(SUBSTITUTE(SUBSTITUTE(SUBSTITUTE(SUBSTITUTE(SUBSTITUTE($V28,"œ","oe"),"æ","ae"),"à","a"),"á","a"),"â","a"),"ä","a"),"ã","a"),"ç","c"),"è","e"),"é","e"),"ê","e"),"ë","e"),"")</f>
        <v>thon au naturel</v>
      </c>
      <c r="X28" s="581" t="str">
        <f>IF(28=28,SUBSTITUTE(SUBSTITUTE(SUBSTITUTE(SUBSTITUTE(SUBSTITUTE(SUBSTITUTE(SUBSTITUTE(SUBSTITUTE(SUBSTITUTE(SUBSTITUTE(SUBSTITUTE(SUBSTITUTE(SUBSTITUTE(SUBSTITUTE(SUBSTITUTE(SUBSTITUTE($W28,"ì","i"),"í","i"),"î","i"),"ï","i"),"ñ","n"),"ò","o"),"ó","o"),"ô","o"),"ö","o"),"õ","o"),"ù","u"),"ú","u"),"û","u"),"ü","u"),"ý","y"),"ÿ","y"),"")</f>
        <v>thon au naturel</v>
      </c>
      <c r="Y28" s="581" t="str">
        <f>IF(28=28,SUBSTITUTE(SUBSTITUTE(SUBSTITUTE(SUBSTITUTE(SUBSTITUTE(SUBSTITUTE(SUBSTITUTE(SUBSTITUTE(SUBSTITUTE(SUBSTITUTE(SUBSTITUTE(SUBSTITUTE(SUBSTITUTE(SUBSTITUTE($X28,"’"," "),"`"," "),"–"," "),"—"," "),"-"," "),"'"," "),"/"," "),"_"," "),","," "),"."," "),"("," "),")"," "),";"," "),":"," "),"")</f>
        <v>thon au naturel</v>
      </c>
      <c r="Z28" s="581" t="str">
        <f>IF(28=28,SUBSTITUTE(SUBSTITUTE(SUBSTITUTE(SUBSTITUTE(SUBSTITUTE(SUBSTITUTE(SUBSTITUTE(SUBSTITUTE(SUBSTITUTE(SUBSTITUTE(SUBSTITUTE(SUBSTITUTE(SUBSTITUTE(SUBSTITUTE(SUBSTITUTE($Y28,"!"," "),"?"," "),"+"," "),"*"," "),"&amp;"," "),"["," "),"]"," "),"{"," "),"}"," "),"%"," "),"="," "),"\"," "),"|"," "),"&lt;"," "),"&gt;"," "),"")</f>
        <v>thon au naturel</v>
      </c>
      <c r="AA28" s="581" t="str">
        <f>IF(28=28," "&amp;TRIM(SUBSTITUTE(SUBSTITUTE(SUBSTITUTE(SUBSTITUTE(SUBSTITUTE(SUBSTITUTE($Z28,CHAR(34)," "),"  "," "),"  "," "),"  "," "),"  "," "),"  "," "))&amp;" ","")</f>
        <v xml:space="preserve"> thon au naturel </v>
      </c>
      <c r="AB28" s="581">
        <f>IF(28=28,IF($U28="","",SUMPRODUCT(--ISNUMBER(SEARCH(" "&amp;$CR$2:$CR$101&amp;" ",$AD28)))),"")</f>
        <v>0</v>
      </c>
      <c r="AC28" s="581">
        <f>IF(28=28,IF($U28="","",SUMPRODUCT(--ISNUMBER(SEARCH(" "&amp;$CR$102:$CR$151&amp;" ",$AD28)))),"")</f>
        <v>0</v>
      </c>
      <c r="AD28" s="581" t="e">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8" s="581">
        <f>IF(28=28,IF($U28="","",SUMPRODUCT(--ISNUMBER(SEARCH(" "&amp;$CR$184:$CR$205&amp;" ",$AD28)))),"")</f>
        <v>0</v>
      </c>
      <c r="AF28" s="581" t="str">
        <f>IF(28=28,IF($U28="","",IF(SUM(AB28:AC28)+SUMPRODUCT(--ISNUMBER(SEARCH(" "&amp;$CR$2418:$CR$2420&amp;" ",$AD28)))&gt;0,"X",IF(AE28&gt;0,"?",""))),"")</f>
        <v/>
      </c>
      <c r="AG28" s="581">
        <f>IF(28=28,IF($U28="","",SUMPRODUCT(--ISNUMBER(SEARCH(" "&amp;$CR$206:$CR$305&amp;" ",$AA28)))),"")</f>
        <v>0</v>
      </c>
      <c r="AH28" s="581">
        <f>IF(28=28,IF($U28="","",SUMPRODUCT(--ISNUMBER(SEARCH(" "&amp;$CR$306:$CR$340&amp;" ",$AA28)))),"")</f>
        <v>0</v>
      </c>
      <c r="AI28" s="581" t="str">
        <f>IF(28=28,IF($U28="","",IF((SUM(AG28:AH28))-(0)&gt;0,"X",IF((0)-(0)&gt;0,"?",""))),"")</f>
        <v/>
      </c>
      <c r="AJ28" s="581">
        <f>IF(28=28,IF($U28="","",SUMPRODUCT(--ISNUMBER(SEARCH(" "&amp;$CR$341:$CR$398&amp;" ",$AA28)))),"")</f>
        <v>0</v>
      </c>
      <c r="AK28" s="581">
        <f>IF(28=28,IF($U28="","",SUMPRODUCT(--ISNUMBER(SEARCH(" "&amp;$CR$399:$CR$426&amp;" ",$AL28)))+SUMPRODUCT(--ISNUMBER(SEARCH(" "&amp;$CR$2440:$CR$2453&amp;" ",$AL28)))),"")</f>
        <v>0</v>
      </c>
      <c r="AL28" s="581" t="str">
        <f>IF(28=28,IF($U28="","",SUBSTITUTE(SUBSTITUTE(SUBSTITUTE(SUBSTITUTE(SUBSTITUTE(SUBSTITUTE(SUBSTITUTE(SUBSTITUTE(SUBSTITUTE(SUBSTITUTE(SUBSTITUTE(SUBSTITUTE(SUBSTITUTE($AA28," "&amp;$CR$433&amp;" "," ")," "&amp;$CR$431&amp;" "," ")," "&amp;$CR$2438&amp;" "," ")," "&amp;$CR$2439&amp;" "," ")," "&amp;$CR$428&amp;" "," ")," "&amp;$CR$432&amp;" "," ")," "&amp;$CR$434&amp;" "," ")," "&amp;$CR$429&amp;" "," ")," "&amp;$CR$427&amp;" "," ")," "&amp;$CR$1367&amp;" "," ")," "&amp;$CR$435&amp;" "," ")," "&amp;$CR$1366&amp;" "," ")," "&amp;$CR$430&amp;" "," ")),"")</f>
        <v xml:space="preserve"> thon au naturel </v>
      </c>
      <c r="AM28" s="581" t="str">
        <f>IF(28=28,IF($U28="","",IF(AJ28&gt;0,"X",IF(AK28&gt;0,"?",""))),"")</f>
        <v/>
      </c>
      <c r="AN28" s="581">
        <f>IF(28=28,IF($U28="","",SUMPRODUCT(--ISNUMBER(SEARCH(" "&amp;$CR$436:$CR$535&amp;" ",$AX28)))),"")</f>
        <v>0</v>
      </c>
      <c r="AO28" s="581">
        <f>IF(28=28,IF($U28="","",SUMPRODUCT(--ISNUMBER(SEARCH(" "&amp;$CR$536:$CR$635&amp;" ",$AX28)))),"")</f>
        <v>0</v>
      </c>
      <c r="AP28" s="581">
        <f>IF(28=28,IF($U28="","",SUMPRODUCT(--ISNUMBER(SEARCH(" "&amp;$CR$636:$CR$735&amp;" ",$AX28)))),"")</f>
        <v>0</v>
      </c>
      <c r="AQ28" s="581">
        <f>IF(28=28,IF($U28="","",SUMPRODUCT(--ISNUMBER(SEARCH(" "&amp;$CR$736:$CR$835&amp;" ",$AX28)))),"")</f>
        <v>0</v>
      </c>
      <c r="AR28" s="581">
        <f>IF(28=28,IF($U28="","",SUMPRODUCT(--ISNUMBER(SEARCH(" "&amp;$CR$836:$CR$935&amp;" ",$AX28)))),"")</f>
        <v>0</v>
      </c>
      <c r="AS28" s="581">
        <f>IF(28=28,IF($U28="","",SUMPRODUCT(--ISNUMBER(SEARCH(" "&amp;$CR$936:$CR$1035&amp;" ",$AX28)))),"")</f>
        <v>0</v>
      </c>
      <c r="AT28" s="581">
        <f>IF(28=28,IF($U28="","",SUMPRODUCT(--ISNUMBER(SEARCH(" "&amp;$CR$1036:$CR$1135&amp;" ",$AX28)))),"")</f>
        <v>0</v>
      </c>
      <c r="AU28" s="581">
        <f>IF(28=28,IF($U28="","",SUMPRODUCT(--ISNUMBER(SEARCH(" "&amp;$CR$1136:$CR$1235&amp;" ",$AX28)))),"")</f>
        <v>0</v>
      </c>
      <c r="AV28" s="581">
        <f>IF(28=28,IF($U28="","",SUMPRODUCT(--ISNUMBER(SEARCH(" "&amp;$CR$1236:$CR$1335&amp;" ",$AX28)))),"")</f>
        <v>0</v>
      </c>
      <c r="AW28" s="581">
        <f>IF(28=28,IF($U28="","",SUMPRODUCT(--ISNUMBER(SEARCH(" "&amp;$CR$1336:$CR$1363&amp;" ",$AX28)))),"")</f>
        <v>0</v>
      </c>
      <c r="AX28" s="581" t="str">
        <f>IF(28=28,IF($U28="","",SUBSTITUTE(SUBSTITUTE(SUBSTITUTE(SUBSTITUTE(SUBSTITUTE(SUBSTITUTE(SUBSTITUTE(SUBSTITUTE(SUBSTITUTE($AA28," "&amp;$CR$1365&amp;" "," ")," "&amp;$CR$1364&amp;" "," ")," "&amp;$CR$1370&amp;" "," ")," "&amp;$CR$1371&amp;" "," ")," "&amp;$CR$1367&amp;" "," ")," "&amp;$CR$1369&amp;" "," ")," "&amp;$CR$1366&amp;" "," ")," "&amp;$CR$1368&amp;" "," ")," "&amp;$CR$1372&amp;" "," ")),"")</f>
        <v xml:space="preserve"> thon au naturel </v>
      </c>
      <c r="AY28" s="581">
        <f>IF(28=28,IF($U28="","",SUMPRODUCT(--ISNUMBER(SEARCH(" "&amp;$CR$1373:$CR$1383&amp;" ",$AX28)))),"")</f>
        <v>0</v>
      </c>
      <c r="AZ28" s="581" t="str">
        <f>IF(28=28,IF($U28="","",IF(SUM(AN28:AW28)+SUMPRODUCT(--ISNUMBER(SEARCH(" "&amp;$CR$2421:$CR$2422&amp;" ",$AX28)))&gt;0,"X",IF(AY28&gt;0,"?",""))),"")</f>
        <v>X</v>
      </c>
      <c r="BA28" s="581">
        <f>IF(28=28,IF($U28="","",SUMPRODUCT(--ISNUMBER(SEARCH(" "&amp;$CR$1384:$CR$1404&amp;" ",$AA28)))),"")</f>
        <v>0</v>
      </c>
      <c r="BB28" s="581" t="str">
        <f>IF(28=28,IF($U28="","",IF((BA28)-(0)&gt;0,"X",IF((0)-(0)&gt;0,"?",""))),"")</f>
        <v/>
      </c>
      <c r="BC28" s="581">
        <f>IF(28=28,IF($U28="","",SUMPRODUCT(--ISNUMBER(SEARCH(" "&amp;$CR$1405:$CR$1442&amp;" ",$BD28)))),"")</f>
        <v>0</v>
      </c>
      <c r="BD28" s="581" t="str">
        <f>IF(28=28,IF($U28="","",SUBSTITUTE(SUBSTITUTE($AA28," "&amp;$CR$1443&amp;" "," ")," "&amp;$CR$1444&amp;" "," ")),"")</f>
        <v xml:space="preserve"> thon au naturel </v>
      </c>
      <c r="BE28" s="581">
        <f>IF(28=28,IF($U28="","",SUMPRODUCT(--ISNUMBER(SEARCH(" "&amp;$CR$1445:$CR$1455&amp;" ",$BD28)))),"")</f>
        <v>0</v>
      </c>
      <c r="BF28" s="581" t="str">
        <f>IF(28=28,IF($U28="","",IF(BC28&gt;0,"X",IF(BE28&gt;0,"?",""))),"")</f>
        <v/>
      </c>
      <c r="BG28" s="581">
        <f>IF(28=28,IF($U28="","",SUMPRODUCT(--ISNUMBER(SEARCH(" "&amp;$CR$1456:$CR$1555&amp;" ",$BJ28)))),"")</f>
        <v>0</v>
      </c>
      <c r="BH28" s="581">
        <f>IF(28=28,IF($U28="","",SUMPRODUCT(--ISNUMBER(SEARCH(" "&amp;$CR$1556:$CR$1655&amp;" ",$BJ28)))),"")</f>
        <v>0</v>
      </c>
      <c r="BI28" s="581">
        <f>IF(28=28,IF($U28="","",SUMPRODUCT(--ISNUMBER(SEARCH(" "&amp;$CR$1656:$CR$1739&amp;" ",$BJ28)))),"")</f>
        <v>0</v>
      </c>
      <c r="BJ28" s="581"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thon au naturel </v>
      </c>
      <c r="BK28" s="581">
        <f>IF(28=28,IF($U28="","",SUMPRODUCT(--ISNUMBER(SEARCH(" "&amp;$CR$1790:$CR$1869&amp;" ",$BL28)))+SUMPRODUCT(--ISNUMBER(SEARCH(" "&amp;$CR$2440:$CR$2453&amp;" ",$BL28)))),"")</f>
        <v>0</v>
      </c>
      <c r="BL28" s="581"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thon au naturel </v>
      </c>
      <c r="BM28" s="581" t="str">
        <f>IF(28=28,IF($U28="","",IF(SUM(BG28:BI28)+SUMPRODUCT(--ISNUMBER(SEARCH(" "&amp;$CR$2423:$CR$2424&amp;" ",$BJ28)))&gt;0,"X",IF(BK28&gt;0,"?",""))),"")</f>
        <v/>
      </c>
      <c r="BN28" s="581">
        <f>IF(28=28,IF($U28="","",SUMPRODUCT(--ISNUMBER(SEARCH(" "&amp;$CR$1879:$CR$1936&amp;" ",$BO28)))),"")</f>
        <v>0</v>
      </c>
      <c r="BO28" s="581"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thon au naturel </v>
      </c>
      <c r="BP28" s="581">
        <f>IF(28=28,IF($U28="","",SUMPRODUCT(--ISNUMBER(SEARCH(" "&amp;$CR$1960:$CR$1976&amp;" ",$BO28)))),"")</f>
        <v>0</v>
      </c>
      <c r="BQ28" s="581" t="str">
        <f>IF(28=28,IF($U28="","",IF(BN28&gt;0,"X",IF(BP28&gt;0,"?",""))),"")</f>
        <v/>
      </c>
      <c r="BR28" s="581">
        <f>IF(28=28,IF($U28="","",SUMPRODUCT(--ISNUMBER(SEARCH(" "&amp;$CR$1977:$CR$1990&amp;" ",$AA28)))),"")</f>
        <v>0</v>
      </c>
      <c r="BS28" s="581">
        <f>IF(28=28,IF($U28="","",SUMPRODUCT(--ISNUMBER(SEARCH(" "&amp;$CR$1991:$CR$2005&amp;" ",$AA28)))),"")</f>
        <v>0</v>
      </c>
      <c r="BT28" s="581" t="str">
        <f>IF(28=28,IF($U28="","",IF((BR28)-(0)&gt;0,"X",IF((BS28)-(0)&gt;0,"?",""))),"")</f>
        <v/>
      </c>
      <c r="BU28" s="581">
        <f>IF(28=28,IF($U28="","",SUMPRODUCT(--ISNUMBER(SEARCH(" "&amp;$CR$2006:$CR$2023&amp;" ",$AA28)))),"")</f>
        <v>0</v>
      </c>
      <c r="BV28" s="581">
        <f>IF(28=28,IF($U28="","",SUMPRODUCT(--ISNUMBER(SEARCH(" "&amp;$CR$2024:$CR$2038&amp;" ",$AA28)))),"")</f>
        <v>0</v>
      </c>
      <c r="BW28" s="581" t="str">
        <f>IF(28=28,IF($U28="","",IF((BU28)-(0)&gt;0,"X",IF((BV28)-(0)&gt;0,"?",""))),"")</f>
        <v/>
      </c>
      <c r="BX28" s="581">
        <f>IF(28=28,IF($U28="","",SUMPRODUCT(--ISNUMBER(SEARCH(" "&amp;$CR$2039:$CR$2057&amp;" ",$AA28)))),"")</f>
        <v>0</v>
      </c>
      <c r="BY28" s="581">
        <f>IF(28=28,IF($U28="","",SUMPRODUCT(--ISNUMBER(SEARCH(" "&amp;$CR$2058:$CR$2072&amp;" ",$AA28)))),"")</f>
        <v>0</v>
      </c>
      <c r="BZ28" s="581" t="str">
        <f>IF(28=28,IF($U28="","",IF((BX28)-(0)&gt;0,"X",IF((BY28)-(0)&gt;0,"?",""))),"")</f>
        <v/>
      </c>
      <c r="CA28" s="581">
        <f>IF(28=28,IF($U28="","",SUMPRODUCT(--ISNUMBER(SEARCH(" "&amp;$CR$2073:$CR$2093&amp;" ",$AA28)))),"")</f>
        <v>0</v>
      </c>
      <c r="CB28" s="581">
        <f>IF(28=28,IF($U28="","",SUMPRODUCT(--ISNUMBER(SEARCH(" "&amp;$CR$2094:$CR$2133&amp;" ",SUBSTITUTE(SUBSTITUTE($AA28," "&amp;$CR$1367&amp;" "," ")," "&amp;$CR$1366&amp;" "," "))))+--ISNUMBER(SEARCH("poiré",$V28))),"")</f>
        <v>0</v>
      </c>
      <c r="CC28" s="581" t="str">
        <f>IF(28=28,IF($U28="","",IF(OR(CA28&gt;0,ISNUMBER(SEARCH(" vinaigre de vin ",$AA28)),ISNUMBER(SEARCH(" vinaigre au vin ",$AA28))),"X",IF(CB28&gt;0,"?",""))),"")</f>
        <v/>
      </c>
      <c r="CD28" s="581">
        <f>IF(28=28,IF($U28="","",SUMPRODUCT(--ISNUMBER(SEARCH(" "&amp;$CR$2134:$CR$2146&amp;" ",$AA28)))),"")</f>
        <v>0</v>
      </c>
      <c r="CE28" s="581">
        <f>IF(28=28,IF($U28="","",SUMPRODUCT(--ISNUMBER(SEARCH(" "&amp;$CR$2147:$CR$2152&amp;" ",$AA28)))),"")</f>
        <v>0</v>
      </c>
      <c r="CF28" s="581" t="str">
        <f>IF(28=28,IF($U28="","",IF((CD28)-(0)&gt;0,"X",IF((CE28)-(0)&gt;0,"?",""))),"")</f>
        <v/>
      </c>
      <c r="CG28" s="581">
        <f>IF(28=28,IF($U28="","",SUMPRODUCT(--ISNUMBER(SEARCH(" "&amp;$CR$2153:$CR$2252&amp;" ",$CJ28)))),"")</f>
        <v>0</v>
      </c>
      <c r="CH28" s="581">
        <f>IF(28=28,IF($U28="","",SUMPRODUCT(--ISNUMBER(SEARCH(" "&amp;$CR$2253:$CR$2352&amp;" ",$CJ28)))),"")</f>
        <v>0</v>
      </c>
      <c r="CI28" s="581">
        <f>IF(28=28,IF($U28="","",SUMPRODUCT(--ISNUMBER(SEARCH(" "&amp;$CR$2353:$CR$2395&amp;" ",$CJ28)))),"")</f>
        <v>0</v>
      </c>
      <c r="CJ28" s="581"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thon au naturel </v>
      </c>
      <c r="CK28" s="581">
        <f>IF(28=28,IF($U28="","",SUMPRODUCT(--ISNUMBER(SEARCH(" "&amp;$CR$2412:$CR$2416&amp;" ",$CJ28)))),"")</f>
        <v>0</v>
      </c>
      <c r="CL28" s="581" t="str">
        <f>IF(28=28,IF($U28="","",IF(SUM(CG28:CI28)&gt;0,"X",IF(CK28&gt;0,"?",""))),"")</f>
        <v/>
      </c>
      <c r="CM28" s="582"/>
      <c r="CN28" s="584" t="s">
        <v>2050</v>
      </c>
      <c r="CO28" s="584" t="s">
        <v>1887</v>
      </c>
      <c r="CP28" s="584" t="s">
        <v>1888</v>
      </c>
      <c r="CQ28" s="584" t="s">
        <v>2051</v>
      </c>
      <c r="CR28" s="584" t="s">
        <v>2051</v>
      </c>
      <c r="CS28" s="584" t="s">
        <v>1890</v>
      </c>
      <c r="CT28" s="584" t="s">
        <v>1891</v>
      </c>
      <c r="CU28" s="584" t="s">
        <v>1892</v>
      </c>
      <c r="CV28" s="585" t="s">
        <v>1893</v>
      </c>
    </row>
    <row r="29" spans="1:100" ht="21.95" customHeight="1" x14ac:dyDescent="0.25">
      <c r="A29" s="597">
        <v>23</v>
      </c>
      <c r="B29" s="598" t="s">
        <v>2052</v>
      </c>
      <c r="C29" s="599" t="str">
        <f t="shared" si="0"/>
        <v>Boulghour fin</v>
      </c>
      <c r="D29" s="600"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601" t="str">
        <f>IF(29=29,IF($B29="","",AF29),"")</f>
        <v/>
      </c>
      <c r="F29" s="601" t="str">
        <f>IF(29=29,IF($B29="","",AI29),"")</f>
        <v/>
      </c>
      <c r="G29" s="601" t="str">
        <f>IF(29=29,IF($B29="","",AM29),"")</f>
        <v/>
      </c>
      <c r="H29" s="601" t="str">
        <f>IF(29=29,IF($B29="","",AZ29),"")</f>
        <v/>
      </c>
      <c r="I29" s="601" t="str">
        <f>IF(29=29,IF($B29="","",BB29),"")</f>
        <v/>
      </c>
      <c r="J29" s="601" t="str">
        <f>IF(29=29,IF($B29="","",BF29),"")</f>
        <v/>
      </c>
      <c r="K29" s="601" t="str">
        <f>IF(29=29,IF($B29="","",BM29),"")</f>
        <v/>
      </c>
      <c r="L29" s="601" t="str">
        <f>IF(29=29,IF($B29="","",BQ29),"")</f>
        <v/>
      </c>
      <c r="M29" s="601" t="str">
        <f>IF(29=29,IF($B29="","",BT29),"")</f>
        <v/>
      </c>
      <c r="N29" s="601" t="str">
        <f>IF(29=29,IF($B29="","",BW29),"")</f>
        <v/>
      </c>
      <c r="O29" s="601" t="str">
        <f>IF(29=29,IF($B29="","",BZ29),"")</f>
        <v/>
      </c>
      <c r="P29" s="601" t="str">
        <f>IF(29=29,IF($B29="","",CC29),"")</f>
        <v/>
      </c>
      <c r="Q29" s="601" t="str">
        <f>IF(29=29,IF($B29="","",CF29),"")</f>
        <v/>
      </c>
      <c r="R29" s="601" t="str">
        <f>IF(29=29,IF($B29="","",CL29),"")</f>
        <v/>
      </c>
      <c r="S29" s="602"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
      </c>
      <c r="U29" s="581" t="str">
        <f>IF(29=29,IF($B29="","",$B29),"")</f>
        <v>Boulghour fin</v>
      </c>
      <c r="V29" s="581" t="str">
        <f>IF(29=29,LOWER(CLEAN(SUBSTITUTE(SUBSTITUTE(SUBSTITUTE(SUBSTITUTE($U29,CHAR(160)," ")," "," "),CHAR(10)," "),CHAR(13)," "))),"")</f>
        <v>boulghour fin</v>
      </c>
      <c r="W29" s="581" t="str">
        <f>IF(29=29,SUBSTITUTE(SUBSTITUTE(SUBSTITUTE(SUBSTITUTE(SUBSTITUTE(SUBSTITUTE(SUBSTITUTE(SUBSTITUTE(SUBSTITUTE(SUBSTITUTE(SUBSTITUTE(SUBSTITUTE($V29,"œ","oe"),"æ","ae"),"à","a"),"á","a"),"â","a"),"ä","a"),"ã","a"),"ç","c"),"è","e"),"é","e"),"ê","e"),"ë","e"),"")</f>
        <v>boulghour fin</v>
      </c>
      <c r="X29" s="581" t="str">
        <f>IF(29=29,SUBSTITUTE(SUBSTITUTE(SUBSTITUTE(SUBSTITUTE(SUBSTITUTE(SUBSTITUTE(SUBSTITUTE(SUBSTITUTE(SUBSTITUTE(SUBSTITUTE(SUBSTITUTE(SUBSTITUTE(SUBSTITUTE(SUBSTITUTE(SUBSTITUTE(SUBSTITUTE($W29,"ì","i"),"í","i"),"î","i"),"ï","i"),"ñ","n"),"ò","o"),"ó","o"),"ô","o"),"ö","o"),"õ","o"),"ù","u"),"ú","u"),"û","u"),"ü","u"),"ý","y"),"ÿ","y"),"")</f>
        <v>boulghour fin</v>
      </c>
      <c r="Y29" s="581" t="str">
        <f>IF(29=29,SUBSTITUTE(SUBSTITUTE(SUBSTITUTE(SUBSTITUTE(SUBSTITUTE(SUBSTITUTE(SUBSTITUTE(SUBSTITUTE(SUBSTITUTE(SUBSTITUTE(SUBSTITUTE(SUBSTITUTE(SUBSTITUTE(SUBSTITUTE($X29,"’"," "),"`"," "),"–"," "),"—"," "),"-"," "),"'"," "),"/"," "),"_"," "),","," "),"."," "),"("," "),")"," "),";"," "),":"," "),"")</f>
        <v>boulghour fin</v>
      </c>
      <c r="Z29" s="581" t="str">
        <f>IF(29=29,SUBSTITUTE(SUBSTITUTE(SUBSTITUTE(SUBSTITUTE(SUBSTITUTE(SUBSTITUTE(SUBSTITUTE(SUBSTITUTE(SUBSTITUTE(SUBSTITUTE(SUBSTITUTE(SUBSTITUTE(SUBSTITUTE(SUBSTITUTE(SUBSTITUTE($Y29,"!"," "),"?"," "),"+"," "),"*"," "),"&amp;"," "),"["," "),"]"," "),"{"," "),"}"," "),"%"," "),"="," "),"\"," "),"|"," "),"&lt;"," "),"&gt;"," "),"")</f>
        <v>boulghour fin</v>
      </c>
      <c r="AA29" s="581" t="str">
        <f>IF(29=29," "&amp;TRIM(SUBSTITUTE(SUBSTITUTE(SUBSTITUTE(SUBSTITUTE(SUBSTITUTE(SUBSTITUTE($Z29,CHAR(34)," "),"  "," "),"  "," "),"  "," "),"  "," "),"  "," "))&amp;" ","")</f>
        <v xml:space="preserve"> boulghour fin </v>
      </c>
      <c r="AB29" s="581">
        <f>IF(29=29,IF($U29="","",SUMPRODUCT(--ISNUMBER(SEARCH(" "&amp;$CR$2:$CR$101&amp;" ",$AD29)))),"")</f>
        <v>0</v>
      </c>
      <c r="AC29" s="581">
        <f>IF(29=29,IF($U29="","",SUMPRODUCT(--ISNUMBER(SEARCH(" "&amp;$CR$102:$CR$151&amp;" ",$AD29)))),"")</f>
        <v>0</v>
      </c>
      <c r="AD29" s="581" t="e">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29" s="581">
        <f>IF(29=29,IF($U29="","",SUMPRODUCT(--ISNUMBER(SEARCH(" "&amp;$CR$184:$CR$205&amp;" ",$AD29)))),"")</f>
        <v>0</v>
      </c>
      <c r="AF29" s="581" t="str">
        <f>IF(29=29,IF($U29="","",IF(SUM(AB29:AC29)+SUMPRODUCT(--ISNUMBER(SEARCH(" "&amp;$CR$2418:$CR$2420&amp;" ",$AD29)))&gt;0,"X",IF(AE29&gt;0,"?",""))),"")</f>
        <v/>
      </c>
      <c r="AG29" s="581">
        <f>IF(29=29,IF($U29="","",SUMPRODUCT(--ISNUMBER(SEARCH(" "&amp;$CR$206:$CR$305&amp;" ",$AA29)))),"")</f>
        <v>0</v>
      </c>
      <c r="AH29" s="581">
        <f>IF(29=29,IF($U29="","",SUMPRODUCT(--ISNUMBER(SEARCH(" "&amp;$CR$306:$CR$340&amp;" ",$AA29)))),"")</f>
        <v>0</v>
      </c>
      <c r="AI29" s="581" t="str">
        <f>IF(29=29,IF($U29="","",IF((SUM(AG29:AH29))-(0)&gt;0,"X",IF((0)-(0)&gt;0,"?",""))),"")</f>
        <v/>
      </c>
      <c r="AJ29" s="581">
        <f>IF(29=29,IF($U29="","",SUMPRODUCT(--ISNUMBER(SEARCH(" "&amp;$CR$341:$CR$398&amp;" ",$AA29)))),"")</f>
        <v>0</v>
      </c>
      <c r="AK29" s="581">
        <f>IF(29=29,IF($U29="","",SUMPRODUCT(--ISNUMBER(SEARCH(" "&amp;$CR$399:$CR$426&amp;" ",$AL29)))+SUMPRODUCT(--ISNUMBER(SEARCH(" "&amp;$CR$2440:$CR$2453&amp;" ",$AL29)))),"")</f>
        <v>0</v>
      </c>
      <c r="AL29" s="581" t="str">
        <f>IF(29=29,IF($U29="","",SUBSTITUTE(SUBSTITUTE(SUBSTITUTE(SUBSTITUTE(SUBSTITUTE(SUBSTITUTE(SUBSTITUTE(SUBSTITUTE(SUBSTITUTE(SUBSTITUTE(SUBSTITUTE(SUBSTITUTE(SUBSTITUTE($AA29," "&amp;$CR$433&amp;" "," ")," "&amp;$CR$431&amp;" "," ")," "&amp;$CR$2438&amp;" "," ")," "&amp;$CR$2439&amp;" "," ")," "&amp;$CR$428&amp;" "," ")," "&amp;$CR$432&amp;" "," ")," "&amp;$CR$434&amp;" "," ")," "&amp;$CR$429&amp;" "," ")," "&amp;$CR$427&amp;" "," ")," "&amp;$CR$1367&amp;" "," ")," "&amp;$CR$435&amp;" "," ")," "&amp;$CR$1366&amp;" "," ")," "&amp;$CR$430&amp;" "," ")),"")</f>
        <v xml:space="preserve"> boulghour fin </v>
      </c>
      <c r="AM29" s="581" t="str">
        <f>IF(29=29,IF($U29="","",IF(AJ29&gt;0,"X",IF(AK29&gt;0,"?",""))),"")</f>
        <v/>
      </c>
      <c r="AN29" s="581">
        <f>IF(29=29,IF($U29="","",SUMPRODUCT(--ISNUMBER(SEARCH(" "&amp;$CR$436:$CR$535&amp;" ",$AX29)))),"")</f>
        <v>0</v>
      </c>
      <c r="AO29" s="581">
        <f>IF(29=29,IF($U29="","",SUMPRODUCT(--ISNUMBER(SEARCH(" "&amp;$CR$536:$CR$635&amp;" ",$AX29)))),"")</f>
        <v>0</v>
      </c>
      <c r="AP29" s="581">
        <f>IF(29=29,IF($U29="","",SUMPRODUCT(--ISNUMBER(SEARCH(" "&amp;$CR$636:$CR$735&amp;" ",$AX29)))),"")</f>
        <v>0</v>
      </c>
      <c r="AQ29" s="581">
        <f>IF(29=29,IF($U29="","",SUMPRODUCT(--ISNUMBER(SEARCH(" "&amp;$CR$736:$CR$835&amp;" ",$AX29)))),"")</f>
        <v>0</v>
      </c>
      <c r="AR29" s="581">
        <f>IF(29=29,IF($U29="","",SUMPRODUCT(--ISNUMBER(SEARCH(" "&amp;$CR$836:$CR$935&amp;" ",$AX29)))),"")</f>
        <v>0</v>
      </c>
      <c r="AS29" s="581">
        <f>IF(29=29,IF($U29="","",SUMPRODUCT(--ISNUMBER(SEARCH(" "&amp;$CR$936:$CR$1035&amp;" ",$AX29)))),"")</f>
        <v>0</v>
      </c>
      <c r="AT29" s="581">
        <f>IF(29=29,IF($U29="","",SUMPRODUCT(--ISNUMBER(SEARCH(" "&amp;$CR$1036:$CR$1135&amp;" ",$AX29)))),"")</f>
        <v>0</v>
      </c>
      <c r="AU29" s="581">
        <f>IF(29=29,IF($U29="","",SUMPRODUCT(--ISNUMBER(SEARCH(" "&amp;$CR$1136:$CR$1235&amp;" ",$AX29)))),"")</f>
        <v>0</v>
      </c>
      <c r="AV29" s="581">
        <f>IF(29=29,IF($U29="","",SUMPRODUCT(--ISNUMBER(SEARCH(" "&amp;$CR$1236:$CR$1335&amp;" ",$AX29)))),"")</f>
        <v>0</v>
      </c>
      <c r="AW29" s="581">
        <f>IF(29=29,IF($U29="","",SUMPRODUCT(--ISNUMBER(SEARCH(" "&amp;$CR$1336:$CR$1363&amp;" ",$AX29)))),"")</f>
        <v>0</v>
      </c>
      <c r="AX29" s="581" t="str">
        <f>IF(29=29,IF($U29="","",SUBSTITUTE(SUBSTITUTE(SUBSTITUTE(SUBSTITUTE(SUBSTITUTE(SUBSTITUTE(SUBSTITUTE(SUBSTITUTE(SUBSTITUTE($AA29," "&amp;$CR$1365&amp;" "," ")," "&amp;$CR$1364&amp;" "," ")," "&amp;$CR$1370&amp;" "," ")," "&amp;$CR$1371&amp;" "," ")," "&amp;$CR$1367&amp;" "," ")," "&amp;$CR$1369&amp;" "," ")," "&amp;$CR$1366&amp;" "," ")," "&amp;$CR$1368&amp;" "," ")," "&amp;$CR$1372&amp;" "," ")),"")</f>
        <v xml:space="preserve"> boulghour fin </v>
      </c>
      <c r="AY29" s="581">
        <f>IF(29=29,IF($U29="","",SUMPRODUCT(--ISNUMBER(SEARCH(" "&amp;$CR$1373:$CR$1383&amp;" ",$AX29)))),"")</f>
        <v>0</v>
      </c>
      <c r="AZ29" s="581" t="str">
        <f>IF(29=29,IF($U29="","",IF(SUM(AN29:AW29)+SUMPRODUCT(--ISNUMBER(SEARCH(" "&amp;$CR$2421:$CR$2422&amp;" ",$AX29)))&gt;0,"X",IF(AY29&gt;0,"?",""))),"")</f>
        <v/>
      </c>
      <c r="BA29" s="581">
        <f>IF(29=29,IF($U29="","",SUMPRODUCT(--ISNUMBER(SEARCH(" "&amp;$CR$1384:$CR$1404&amp;" ",$AA29)))),"")</f>
        <v>0</v>
      </c>
      <c r="BB29" s="581" t="str">
        <f>IF(29=29,IF($U29="","",IF((BA29)-(0)&gt;0,"X",IF((0)-(0)&gt;0,"?",""))),"")</f>
        <v/>
      </c>
      <c r="BC29" s="581">
        <f>IF(29=29,IF($U29="","",SUMPRODUCT(--ISNUMBER(SEARCH(" "&amp;$CR$1405:$CR$1442&amp;" ",$BD29)))),"")</f>
        <v>0</v>
      </c>
      <c r="BD29" s="581" t="str">
        <f>IF(29=29,IF($U29="","",SUBSTITUTE(SUBSTITUTE($AA29," "&amp;$CR$1443&amp;" "," ")," "&amp;$CR$1444&amp;" "," ")),"")</f>
        <v xml:space="preserve"> boulghour fin </v>
      </c>
      <c r="BE29" s="581">
        <f>IF(29=29,IF($U29="","",SUMPRODUCT(--ISNUMBER(SEARCH(" "&amp;$CR$1445:$CR$1455&amp;" ",$BD29)))),"")</f>
        <v>0</v>
      </c>
      <c r="BF29" s="581" t="str">
        <f>IF(29=29,IF($U29="","",IF(BC29&gt;0,"X",IF(BE29&gt;0,"?",""))),"")</f>
        <v/>
      </c>
      <c r="BG29" s="581">
        <f>IF(29=29,IF($U29="","",SUMPRODUCT(--ISNUMBER(SEARCH(" "&amp;$CR$1456:$CR$1555&amp;" ",$BJ29)))),"")</f>
        <v>0</v>
      </c>
      <c r="BH29" s="581">
        <f>IF(29=29,IF($U29="","",SUMPRODUCT(--ISNUMBER(SEARCH(" "&amp;$CR$1556:$CR$1655&amp;" ",$BJ29)))),"")</f>
        <v>0</v>
      </c>
      <c r="BI29" s="581">
        <f>IF(29=29,IF($U29="","",SUMPRODUCT(--ISNUMBER(SEARCH(" "&amp;$CR$1656:$CR$1739&amp;" ",$BJ29)))),"")</f>
        <v>0</v>
      </c>
      <c r="BJ29" s="581"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boulghour fin </v>
      </c>
      <c r="BK29" s="581">
        <f>IF(29=29,IF($U29="","",SUMPRODUCT(--ISNUMBER(SEARCH(" "&amp;$CR$1790:$CR$1869&amp;" ",$BL29)))+SUMPRODUCT(--ISNUMBER(SEARCH(" "&amp;$CR$2440:$CR$2453&amp;" ",$BL29)))),"")</f>
        <v>0</v>
      </c>
      <c r="BL29" s="581"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boulghour fin </v>
      </c>
      <c r="BM29" s="581" t="str">
        <f>IF(29=29,IF($U29="","",IF(SUM(BG29:BI29)+SUMPRODUCT(--ISNUMBER(SEARCH(" "&amp;$CR$2423:$CR$2424&amp;" ",$BJ29)))&gt;0,"X",IF(BK29&gt;0,"?",""))),"")</f>
        <v/>
      </c>
      <c r="BN29" s="581">
        <f>IF(29=29,IF($U29="","",SUMPRODUCT(--ISNUMBER(SEARCH(" "&amp;$CR$1879:$CR$1936&amp;" ",$BO29)))),"")</f>
        <v>0</v>
      </c>
      <c r="BO29" s="581"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boulghour fin </v>
      </c>
      <c r="BP29" s="581">
        <f>IF(29=29,IF($U29="","",SUMPRODUCT(--ISNUMBER(SEARCH(" "&amp;$CR$1960:$CR$1976&amp;" ",$BO29)))),"")</f>
        <v>0</v>
      </c>
      <c r="BQ29" s="581" t="str">
        <f>IF(29=29,IF($U29="","",IF(BN29&gt;0,"X",IF(BP29&gt;0,"?",""))),"")</f>
        <v/>
      </c>
      <c r="BR29" s="581">
        <f>IF(29=29,IF($U29="","",SUMPRODUCT(--ISNUMBER(SEARCH(" "&amp;$CR$1977:$CR$1990&amp;" ",$AA29)))),"")</f>
        <v>0</v>
      </c>
      <c r="BS29" s="581">
        <f>IF(29=29,IF($U29="","",SUMPRODUCT(--ISNUMBER(SEARCH(" "&amp;$CR$1991:$CR$2005&amp;" ",$AA29)))),"")</f>
        <v>0</v>
      </c>
      <c r="BT29" s="581" t="str">
        <f>IF(29=29,IF($U29="","",IF((BR29)-(0)&gt;0,"X",IF((BS29)-(0)&gt;0,"?",""))),"")</f>
        <v/>
      </c>
      <c r="BU29" s="581">
        <f>IF(29=29,IF($U29="","",SUMPRODUCT(--ISNUMBER(SEARCH(" "&amp;$CR$2006:$CR$2023&amp;" ",$AA29)))),"")</f>
        <v>0</v>
      </c>
      <c r="BV29" s="581">
        <f>IF(29=29,IF($U29="","",SUMPRODUCT(--ISNUMBER(SEARCH(" "&amp;$CR$2024:$CR$2038&amp;" ",$AA29)))),"")</f>
        <v>0</v>
      </c>
      <c r="BW29" s="581" t="str">
        <f>IF(29=29,IF($U29="","",IF((BU29)-(0)&gt;0,"X",IF((BV29)-(0)&gt;0,"?",""))),"")</f>
        <v/>
      </c>
      <c r="BX29" s="581">
        <f>IF(29=29,IF($U29="","",SUMPRODUCT(--ISNUMBER(SEARCH(" "&amp;$CR$2039:$CR$2057&amp;" ",$AA29)))),"")</f>
        <v>0</v>
      </c>
      <c r="BY29" s="581">
        <f>IF(29=29,IF($U29="","",SUMPRODUCT(--ISNUMBER(SEARCH(" "&amp;$CR$2058:$CR$2072&amp;" ",$AA29)))),"")</f>
        <v>0</v>
      </c>
      <c r="BZ29" s="581" t="str">
        <f>IF(29=29,IF($U29="","",IF((BX29)-(0)&gt;0,"X",IF((BY29)-(0)&gt;0,"?",""))),"")</f>
        <v/>
      </c>
      <c r="CA29" s="581">
        <f>IF(29=29,IF($U29="","",SUMPRODUCT(--ISNUMBER(SEARCH(" "&amp;$CR$2073:$CR$2093&amp;" ",$AA29)))),"")</f>
        <v>0</v>
      </c>
      <c r="CB29" s="581">
        <f>IF(29=29,IF($U29="","",SUMPRODUCT(--ISNUMBER(SEARCH(" "&amp;$CR$2094:$CR$2133&amp;" ",SUBSTITUTE(SUBSTITUTE($AA29," "&amp;$CR$1367&amp;" "," ")," "&amp;$CR$1366&amp;" "," "))))+--ISNUMBER(SEARCH("poiré",$V29))),"")</f>
        <v>0</v>
      </c>
      <c r="CC29" s="581" t="str">
        <f>IF(29=29,IF($U29="","",IF(OR(CA29&gt;0,ISNUMBER(SEARCH(" vinaigre de vin ",$AA29)),ISNUMBER(SEARCH(" vinaigre au vin ",$AA29))),"X",IF(CB29&gt;0,"?",""))),"")</f>
        <v/>
      </c>
      <c r="CD29" s="581">
        <f>IF(29=29,IF($U29="","",SUMPRODUCT(--ISNUMBER(SEARCH(" "&amp;$CR$2134:$CR$2146&amp;" ",$AA29)))),"")</f>
        <v>0</v>
      </c>
      <c r="CE29" s="581">
        <f>IF(29=29,IF($U29="","",SUMPRODUCT(--ISNUMBER(SEARCH(" "&amp;$CR$2147:$CR$2152&amp;" ",$AA29)))),"")</f>
        <v>0</v>
      </c>
      <c r="CF29" s="581" t="str">
        <f>IF(29=29,IF($U29="","",IF((CD29)-(0)&gt;0,"X",IF((CE29)-(0)&gt;0,"?",""))),"")</f>
        <v/>
      </c>
      <c r="CG29" s="581">
        <f>IF(29=29,IF($U29="","",SUMPRODUCT(--ISNUMBER(SEARCH(" "&amp;$CR$2153:$CR$2252&amp;" ",$CJ29)))),"")</f>
        <v>0</v>
      </c>
      <c r="CH29" s="581">
        <f>IF(29=29,IF($U29="","",SUMPRODUCT(--ISNUMBER(SEARCH(" "&amp;$CR$2253:$CR$2352&amp;" ",$CJ29)))),"")</f>
        <v>0</v>
      </c>
      <c r="CI29" s="581">
        <f>IF(29=29,IF($U29="","",SUMPRODUCT(--ISNUMBER(SEARCH(" "&amp;$CR$2353:$CR$2395&amp;" ",$CJ29)))),"")</f>
        <v>0</v>
      </c>
      <c r="CJ29" s="581"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boulghour fin </v>
      </c>
      <c r="CK29" s="581">
        <f>IF(29=29,IF($U29="","",SUMPRODUCT(--ISNUMBER(SEARCH(" "&amp;$CR$2412:$CR$2416&amp;" ",$CJ29)))),"")</f>
        <v>0</v>
      </c>
      <c r="CL29" s="581" t="str">
        <f>IF(29=29,IF($U29="","",IF(SUM(CG29:CI29)&gt;0,"X",IF(CK29&gt;0,"?",""))),"")</f>
        <v/>
      </c>
      <c r="CM29" s="582"/>
      <c r="CN29" s="584" t="s">
        <v>2053</v>
      </c>
      <c r="CO29" s="584" t="s">
        <v>1887</v>
      </c>
      <c r="CP29" s="584" t="s">
        <v>1888</v>
      </c>
      <c r="CQ29" s="584" t="s">
        <v>2054</v>
      </c>
      <c r="CR29" s="584" t="s">
        <v>2054</v>
      </c>
      <c r="CS29" s="584" t="s">
        <v>1890</v>
      </c>
      <c r="CT29" s="584" t="s">
        <v>1891</v>
      </c>
      <c r="CU29" s="584" t="s">
        <v>1892</v>
      </c>
      <c r="CV29" s="585" t="s">
        <v>1893</v>
      </c>
    </row>
    <row r="30" spans="1:100" ht="21.95" customHeight="1" x14ac:dyDescent="0.25">
      <c r="A30" s="597">
        <v>24</v>
      </c>
      <c r="B30" s="598" t="s">
        <v>2055</v>
      </c>
      <c r="C30" s="599" t="str">
        <f t="shared" si="0"/>
        <v>sucre semoule</v>
      </c>
      <c r="D30" s="600"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
      </c>
      <c r="E30" s="601" t="str">
        <f>IF(30=30,IF($B30="","",AF30),"")</f>
        <v/>
      </c>
      <c r="F30" s="601" t="str">
        <f>IF(30=30,IF($B30="","",AI30),"")</f>
        <v/>
      </c>
      <c r="G30" s="601" t="str">
        <f>IF(30=30,IF($B30="","",AM30),"")</f>
        <v/>
      </c>
      <c r="H30" s="601" t="str">
        <f>IF(30=30,IF($B30="","",AZ30),"")</f>
        <v/>
      </c>
      <c r="I30" s="601" t="str">
        <f>IF(30=30,IF($B30="","",BB30),"")</f>
        <v/>
      </c>
      <c r="J30" s="601" t="str">
        <f>IF(30=30,IF($B30="","",BF30),"")</f>
        <v/>
      </c>
      <c r="K30" s="601" t="str">
        <f>IF(30=30,IF($B30="","",BM30),"")</f>
        <v/>
      </c>
      <c r="L30" s="601" t="str">
        <f>IF(30=30,IF($B30="","",BQ30),"")</f>
        <v/>
      </c>
      <c r="M30" s="601" t="str">
        <f>IF(30=30,IF($B30="","",BT30),"")</f>
        <v/>
      </c>
      <c r="N30" s="601" t="str">
        <f>IF(30=30,IF($B30="","",BW30),"")</f>
        <v/>
      </c>
      <c r="O30" s="601" t="str">
        <f>IF(30=30,IF($B30="","",BZ30),"")</f>
        <v/>
      </c>
      <c r="P30" s="601" t="str">
        <f>IF(30=30,IF($B30="","",CC30),"")</f>
        <v/>
      </c>
      <c r="Q30" s="601" t="str">
        <f>IF(30=30,IF($B30="","",CF30),"")</f>
        <v/>
      </c>
      <c r="R30" s="601" t="str">
        <f>IF(30=30,IF($B30="","",CL30),"")</f>
        <v/>
      </c>
      <c r="S30" s="602"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581" t="str">
        <f>IF(30=30,IF($B30="","",$B30),"")</f>
        <v>sucre semoule</v>
      </c>
      <c r="V30" s="581" t="str">
        <f>IF(30=30,LOWER(CLEAN(SUBSTITUTE(SUBSTITUTE(SUBSTITUTE(SUBSTITUTE($U30,CHAR(160)," ")," "," "),CHAR(10)," "),CHAR(13)," "))),"")</f>
        <v>sucre semoule</v>
      </c>
      <c r="W30" s="581" t="str">
        <f>IF(30=30,SUBSTITUTE(SUBSTITUTE(SUBSTITUTE(SUBSTITUTE(SUBSTITUTE(SUBSTITUTE(SUBSTITUTE(SUBSTITUTE(SUBSTITUTE(SUBSTITUTE(SUBSTITUTE(SUBSTITUTE($V30,"œ","oe"),"æ","ae"),"à","a"),"á","a"),"â","a"),"ä","a"),"ã","a"),"ç","c"),"è","e"),"é","e"),"ê","e"),"ë","e"),"")</f>
        <v>sucre semoule</v>
      </c>
      <c r="X30" s="581" t="str">
        <f>IF(30=30,SUBSTITUTE(SUBSTITUTE(SUBSTITUTE(SUBSTITUTE(SUBSTITUTE(SUBSTITUTE(SUBSTITUTE(SUBSTITUTE(SUBSTITUTE(SUBSTITUTE(SUBSTITUTE(SUBSTITUTE(SUBSTITUTE(SUBSTITUTE(SUBSTITUTE(SUBSTITUTE($W30,"ì","i"),"í","i"),"î","i"),"ï","i"),"ñ","n"),"ò","o"),"ó","o"),"ô","o"),"ö","o"),"õ","o"),"ù","u"),"ú","u"),"û","u"),"ü","u"),"ý","y"),"ÿ","y"),"")</f>
        <v>sucre semoule</v>
      </c>
      <c r="Y30" s="581" t="str">
        <f>IF(30=30,SUBSTITUTE(SUBSTITUTE(SUBSTITUTE(SUBSTITUTE(SUBSTITUTE(SUBSTITUTE(SUBSTITUTE(SUBSTITUTE(SUBSTITUTE(SUBSTITUTE(SUBSTITUTE(SUBSTITUTE(SUBSTITUTE(SUBSTITUTE($X30,"’"," "),"`"," "),"–"," "),"—"," "),"-"," "),"'"," "),"/"," "),"_"," "),","," "),"."," "),"("," "),")"," "),";"," "),":"," "),"")</f>
        <v>sucre semoule</v>
      </c>
      <c r="Z30" s="581" t="str">
        <f>IF(30=30,SUBSTITUTE(SUBSTITUTE(SUBSTITUTE(SUBSTITUTE(SUBSTITUTE(SUBSTITUTE(SUBSTITUTE(SUBSTITUTE(SUBSTITUTE(SUBSTITUTE(SUBSTITUTE(SUBSTITUTE(SUBSTITUTE(SUBSTITUTE(SUBSTITUTE($Y30,"!"," "),"?"," "),"+"," "),"*"," "),"&amp;"," "),"["," "),"]"," "),"{"," "),"}"," "),"%"," "),"="," "),"\"," "),"|"," "),"&lt;"," "),"&gt;"," "),"")</f>
        <v>sucre semoule</v>
      </c>
      <c r="AA30" s="581" t="str">
        <f>IF(30=30," "&amp;TRIM(SUBSTITUTE(SUBSTITUTE(SUBSTITUTE(SUBSTITUTE(SUBSTITUTE(SUBSTITUTE($Z30,CHAR(34)," "),"  "," "),"  "," "),"  "," "),"  "," "),"  "," "))&amp;" ","")</f>
        <v xml:space="preserve"> sucre semoule </v>
      </c>
      <c r="AB30" s="581">
        <f>IF(30=30,IF($U30="","",SUMPRODUCT(--ISNUMBER(SEARCH(" "&amp;$CR$2:$CR$101&amp;" ",$AD30)))),"")</f>
        <v>0</v>
      </c>
      <c r="AC30" s="581">
        <f>IF(30=30,IF($U30="","",SUMPRODUCT(--ISNUMBER(SEARCH(" "&amp;$CR$102:$CR$151&amp;" ",$AD30)))),"")</f>
        <v>0</v>
      </c>
      <c r="AD30" s="581" t="e">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0" s="581">
        <f>IF(30=30,IF($U30="","",SUMPRODUCT(--ISNUMBER(SEARCH(" "&amp;$CR$184:$CR$205&amp;" ",$AD30)))),"")</f>
        <v>0</v>
      </c>
      <c r="AF30" s="581" t="str">
        <f>IF(30=30,IF($U30="","",IF(SUM(AB30:AC30)+SUMPRODUCT(--ISNUMBER(SEARCH(" "&amp;$CR$2418:$CR$2420&amp;" ",$AD30)))&gt;0,"X",IF(AE30&gt;0,"?",""))),"")</f>
        <v/>
      </c>
      <c r="AG30" s="581">
        <f>IF(30=30,IF($U30="","",SUMPRODUCT(--ISNUMBER(SEARCH(" "&amp;$CR$206:$CR$305&amp;" ",$AA30)))),"")</f>
        <v>0</v>
      </c>
      <c r="AH30" s="581">
        <f>IF(30=30,IF($U30="","",SUMPRODUCT(--ISNUMBER(SEARCH(" "&amp;$CR$306:$CR$340&amp;" ",$AA30)))),"")</f>
        <v>0</v>
      </c>
      <c r="AI30" s="581" t="str">
        <f>IF(30=30,IF($U30="","",IF((SUM(AG30:AH30))-(0)&gt;0,"X",IF((0)-(0)&gt;0,"?",""))),"")</f>
        <v/>
      </c>
      <c r="AJ30" s="581">
        <f>IF(30=30,IF($U30="","",SUMPRODUCT(--ISNUMBER(SEARCH(" "&amp;$CR$341:$CR$398&amp;" ",$AA30)))),"")</f>
        <v>0</v>
      </c>
      <c r="AK30" s="581">
        <f>IF(30=30,IF($U30="","",SUMPRODUCT(--ISNUMBER(SEARCH(" "&amp;$CR$399:$CR$426&amp;" ",$AL30)))+SUMPRODUCT(--ISNUMBER(SEARCH(" "&amp;$CR$2440:$CR$2453&amp;" ",$AL30)))),"")</f>
        <v>0</v>
      </c>
      <c r="AL30" s="581" t="str">
        <f>IF(30=30,IF($U30="","",SUBSTITUTE(SUBSTITUTE(SUBSTITUTE(SUBSTITUTE(SUBSTITUTE(SUBSTITUTE(SUBSTITUTE(SUBSTITUTE(SUBSTITUTE(SUBSTITUTE(SUBSTITUTE(SUBSTITUTE(SUBSTITUTE($AA30," "&amp;$CR$433&amp;" "," ")," "&amp;$CR$431&amp;" "," ")," "&amp;$CR$2438&amp;" "," ")," "&amp;$CR$2439&amp;" "," ")," "&amp;$CR$428&amp;" "," ")," "&amp;$CR$432&amp;" "," ")," "&amp;$CR$434&amp;" "," ")," "&amp;$CR$429&amp;" "," ")," "&amp;$CR$427&amp;" "," ")," "&amp;$CR$1367&amp;" "," ")," "&amp;$CR$435&amp;" "," ")," "&amp;$CR$1366&amp;" "," ")," "&amp;$CR$430&amp;" "," ")),"")</f>
        <v xml:space="preserve"> sucre semoule </v>
      </c>
      <c r="AM30" s="581" t="str">
        <f>IF(30=30,IF($U30="","",IF(AJ30&gt;0,"X",IF(AK30&gt;0,"?",""))),"")</f>
        <v/>
      </c>
      <c r="AN30" s="581">
        <f>IF(30=30,IF($U30="","",SUMPRODUCT(--ISNUMBER(SEARCH(" "&amp;$CR$436:$CR$535&amp;" ",$AX30)))),"")</f>
        <v>0</v>
      </c>
      <c r="AO30" s="581">
        <f>IF(30=30,IF($U30="","",SUMPRODUCT(--ISNUMBER(SEARCH(" "&amp;$CR$536:$CR$635&amp;" ",$AX30)))),"")</f>
        <v>0</v>
      </c>
      <c r="AP30" s="581">
        <f>IF(30=30,IF($U30="","",SUMPRODUCT(--ISNUMBER(SEARCH(" "&amp;$CR$636:$CR$735&amp;" ",$AX30)))),"")</f>
        <v>0</v>
      </c>
      <c r="AQ30" s="581">
        <f>IF(30=30,IF($U30="","",SUMPRODUCT(--ISNUMBER(SEARCH(" "&amp;$CR$736:$CR$835&amp;" ",$AX30)))),"")</f>
        <v>0</v>
      </c>
      <c r="AR30" s="581">
        <f>IF(30=30,IF($U30="","",SUMPRODUCT(--ISNUMBER(SEARCH(" "&amp;$CR$836:$CR$935&amp;" ",$AX30)))),"")</f>
        <v>0</v>
      </c>
      <c r="AS30" s="581">
        <f>IF(30=30,IF($U30="","",SUMPRODUCT(--ISNUMBER(SEARCH(" "&amp;$CR$936:$CR$1035&amp;" ",$AX30)))),"")</f>
        <v>0</v>
      </c>
      <c r="AT30" s="581">
        <f>IF(30=30,IF($U30="","",SUMPRODUCT(--ISNUMBER(SEARCH(" "&amp;$CR$1036:$CR$1135&amp;" ",$AX30)))),"")</f>
        <v>0</v>
      </c>
      <c r="AU30" s="581">
        <f>IF(30=30,IF($U30="","",SUMPRODUCT(--ISNUMBER(SEARCH(" "&amp;$CR$1136:$CR$1235&amp;" ",$AX30)))),"")</f>
        <v>0</v>
      </c>
      <c r="AV30" s="581">
        <f>IF(30=30,IF($U30="","",SUMPRODUCT(--ISNUMBER(SEARCH(" "&amp;$CR$1236:$CR$1335&amp;" ",$AX30)))),"")</f>
        <v>0</v>
      </c>
      <c r="AW30" s="581">
        <f>IF(30=30,IF($U30="","",SUMPRODUCT(--ISNUMBER(SEARCH(" "&amp;$CR$1336:$CR$1363&amp;" ",$AX30)))),"")</f>
        <v>0</v>
      </c>
      <c r="AX30" s="581" t="str">
        <f>IF(30=30,IF($U30="","",SUBSTITUTE(SUBSTITUTE(SUBSTITUTE(SUBSTITUTE(SUBSTITUTE(SUBSTITUTE(SUBSTITUTE(SUBSTITUTE(SUBSTITUTE($AA30," "&amp;$CR$1365&amp;" "," ")," "&amp;$CR$1364&amp;" "," ")," "&amp;$CR$1370&amp;" "," ")," "&amp;$CR$1371&amp;" "," ")," "&amp;$CR$1367&amp;" "," ")," "&amp;$CR$1369&amp;" "," ")," "&amp;$CR$1366&amp;" "," ")," "&amp;$CR$1368&amp;" "," ")," "&amp;$CR$1372&amp;" "," ")),"")</f>
        <v xml:space="preserve"> sucre semoule </v>
      </c>
      <c r="AY30" s="581">
        <f>IF(30=30,IF($U30="","",SUMPRODUCT(--ISNUMBER(SEARCH(" "&amp;$CR$1373:$CR$1383&amp;" ",$AX30)))),"")</f>
        <v>0</v>
      </c>
      <c r="AZ30" s="581" t="str">
        <f>IF(30=30,IF($U30="","",IF(SUM(AN30:AW30)+SUMPRODUCT(--ISNUMBER(SEARCH(" "&amp;$CR$2421:$CR$2422&amp;" ",$AX30)))&gt;0,"X",IF(AY30&gt;0,"?",""))),"")</f>
        <v/>
      </c>
      <c r="BA30" s="581">
        <f>IF(30=30,IF($U30="","",SUMPRODUCT(--ISNUMBER(SEARCH(" "&amp;$CR$1384:$CR$1404&amp;" ",$AA30)))),"")</f>
        <v>0</v>
      </c>
      <c r="BB30" s="581" t="str">
        <f>IF(30=30,IF($U30="","",IF((BA30)-(0)&gt;0,"X",IF((0)-(0)&gt;0,"?",""))),"")</f>
        <v/>
      </c>
      <c r="BC30" s="581">
        <f>IF(30=30,IF($U30="","",SUMPRODUCT(--ISNUMBER(SEARCH(" "&amp;$CR$1405:$CR$1442&amp;" ",$BD30)))),"")</f>
        <v>0</v>
      </c>
      <c r="BD30" s="581" t="str">
        <f>IF(30=30,IF($U30="","",SUBSTITUTE(SUBSTITUTE($AA30," "&amp;$CR$1443&amp;" "," ")," "&amp;$CR$1444&amp;" "," ")),"")</f>
        <v xml:space="preserve"> sucre semoule </v>
      </c>
      <c r="BE30" s="581">
        <f>IF(30=30,IF($U30="","",SUMPRODUCT(--ISNUMBER(SEARCH(" "&amp;$CR$1445:$CR$1455&amp;" ",$BD30)))),"")</f>
        <v>0</v>
      </c>
      <c r="BF30" s="581" t="str">
        <f>IF(30=30,IF($U30="","",IF(BC30&gt;0,"X",IF(BE30&gt;0,"?",""))),"")</f>
        <v/>
      </c>
      <c r="BG30" s="581">
        <f>IF(30=30,IF($U30="","",SUMPRODUCT(--ISNUMBER(SEARCH(" "&amp;$CR$1456:$CR$1555&amp;" ",$BJ30)))),"")</f>
        <v>0</v>
      </c>
      <c r="BH30" s="581">
        <f>IF(30=30,IF($U30="","",SUMPRODUCT(--ISNUMBER(SEARCH(" "&amp;$CR$1556:$CR$1655&amp;" ",$BJ30)))),"")</f>
        <v>0</v>
      </c>
      <c r="BI30" s="581">
        <f>IF(30=30,IF($U30="","",SUMPRODUCT(--ISNUMBER(SEARCH(" "&amp;$CR$1656:$CR$1739&amp;" ",$BJ30)))),"")</f>
        <v>0</v>
      </c>
      <c r="BJ30" s="581"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sucre semoule </v>
      </c>
      <c r="BK30" s="581">
        <f>IF(30=30,IF($U30="","",SUMPRODUCT(--ISNUMBER(SEARCH(" "&amp;$CR$1790:$CR$1869&amp;" ",$BL30)))+SUMPRODUCT(--ISNUMBER(SEARCH(" "&amp;$CR$2440:$CR$2453&amp;" ",$BL30)))),"")</f>
        <v>0</v>
      </c>
      <c r="BL30" s="581"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sucre semoule </v>
      </c>
      <c r="BM30" s="581" t="str">
        <f>IF(30=30,IF($U30="","",IF(SUM(BG30:BI30)+SUMPRODUCT(--ISNUMBER(SEARCH(" "&amp;$CR$2423:$CR$2424&amp;" ",$BJ30)))&gt;0,"X",IF(BK30&gt;0,"?",""))),"")</f>
        <v/>
      </c>
      <c r="BN30" s="581">
        <f>IF(30=30,IF($U30="","",SUMPRODUCT(--ISNUMBER(SEARCH(" "&amp;$CR$1879:$CR$1936&amp;" ",$BO30)))),"")</f>
        <v>0</v>
      </c>
      <c r="BO30" s="581"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semoule </v>
      </c>
      <c r="BP30" s="581">
        <f>IF(30=30,IF($U30="","",SUMPRODUCT(--ISNUMBER(SEARCH(" "&amp;$CR$1960:$CR$1976&amp;" ",$BO30)))),"")</f>
        <v>0</v>
      </c>
      <c r="BQ30" s="581" t="str">
        <f>IF(30=30,IF($U30="","",IF(BN30&gt;0,"X",IF(BP30&gt;0,"?",""))),"")</f>
        <v/>
      </c>
      <c r="BR30" s="581">
        <f>IF(30=30,IF($U30="","",SUMPRODUCT(--ISNUMBER(SEARCH(" "&amp;$CR$1977:$CR$1990&amp;" ",$AA30)))),"")</f>
        <v>0</v>
      </c>
      <c r="BS30" s="581">
        <f>IF(30=30,IF($U30="","",SUMPRODUCT(--ISNUMBER(SEARCH(" "&amp;$CR$1991:$CR$2005&amp;" ",$AA30)))),"")</f>
        <v>0</v>
      </c>
      <c r="BT30" s="581" t="str">
        <f>IF(30=30,IF($U30="","",IF((BR30)-(0)&gt;0,"X",IF((BS30)-(0)&gt;0,"?",""))),"")</f>
        <v/>
      </c>
      <c r="BU30" s="581">
        <f>IF(30=30,IF($U30="","",SUMPRODUCT(--ISNUMBER(SEARCH(" "&amp;$CR$2006:$CR$2023&amp;" ",$AA30)))),"")</f>
        <v>0</v>
      </c>
      <c r="BV30" s="581">
        <f>IF(30=30,IF($U30="","",SUMPRODUCT(--ISNUMBER(SEARCH(" "&amp;$CR$2024:$CR$2038&amp;" ",$AA30)))),"")</f>
        <v>0</v>
      </c>
      <c r="BW30" s="581" t="str">
        <f>IF(30=30,IF($U30="","",IF((BU30)-(0)&gt;0,"X",IF((BV30)-(0)&gt;0,"?",""))),"")</f>
        <v/>
      </c>
      <c r="BX30" s="581">
        <f>IF(30=30,IF($U30="","",SUMPRODUCT(--ISNUMBER(SEARCH(" "&amp;$CR$2039:$CR$2057&amp;" ",$AA30)))),"")</f>
        <v>0</v>
      </c>
      <c r="BY30" s="581">
        <f>IF(30=30,IF($U30="","",SUMPRODUCT(--ISNUMBER(SEARCH(" "&amp;$CR$2058:$CR$2072&amp;" ",$AA30)))),"")</f>
        <v>0</v>
      </c>
      <c r="BZ30" s="581" t="str">
        <f>IF(30=30,IF($U30="","",IF((BX30)-(0)&gt;0,"X",IF((BY30)-(0)&gt;0,"?",""))),"")</f>
        <v/>
      </c>
      <c r="CA30" s="581">
        <f>IF(30=30,IF($U30="","",SUMPRODUCT(--ISNUMBER(SEARCH(" "&amp;$CR$2073:$CR$2093&amp;" ",$AA30)))),"")</f>
        <v>0</v>
      </c>
      <c r="CB30" s="581">
        <f>IF(30=30,IF($U30="","",SUMPRODUCT(--ISNUMBER(SEARCH(" "&amp;$CR$2094:$CR$2133&amp;" ",SUBSTITUTE(SUBSTITUTE($AA30," "&amp;$CR$1367&amp;" "," ")," "&amp;$CR$1366&amp;" "," "))))+--ISNUMBER(SEARCH("poiré",$V30))),"")</f>
        <v>0</v>
      </c>
      <c r="CC30" s="581" t="str">
        <f>IF(30=30,IF($U30="","",IF(OR(CA30&gt;0,ISNUMBER(SEARCH(" vinaigre de vin ",$AA30)),ISNUMBER(SEARCH(" vinaigre au vin ",$AA30))),"X",IF(CB30&gt;0,"?",""))),"")</f>
        <v/>
      </c>
      <c r="CD30" s="581">
        <f>IF(30=30,IF($U30="","",SUMPRODUCT(--ISNUMBER(SEARCH(" "&amp;$CR$2134:$CR$2146&amp;" ",$AA30)))),"")</f>
        <v>0</v>
      </c>
      <c r="CE30" s="581">
        <f>IF(30=30,IF($U30="","",SUMPRODUCT(--ISNUMBER(SEARCH(" "&amp;$CR$2147:$CR$2152&amp;" ",$AA30)))),"")</f>
        <v>0</v>
      </c>
      <c r="CF30" s="581" t="str">
        <f>IF(30=30,IF($U30="","",IF((CD30)-(0)&gt;0,"X",IF((CE30)-(0)&gt;0,"?",""))),"")</f>
        <v/>
      </c>
      <c r="CG30" s="581">
        <f>IF(30=30,IF($U30="","",SUMPRODUCT(--ISNUMBER(SEARCH(" "&amp;$CR$2153:$CR$2252&amp;" ",$CJ30)))),"")</f>
        <v>0</v>
      </c>
      <c r="CH30" s="581">
        <f>IF(30=30,IF($U30="","",SUMPRODUCT(--ISNUMBER(SEARCH(" "&amp;$CR$2253:$CR$2352&amp;" ",$CJ30)))),"")</f>
        <v>0</v>
      </c>
      <c r="CI30" s="581">
        <f>IF(30=30,IF($U30="","",SUMPRODUCT(--ISNUMBER(SEARCH(" "&amp;$CR$2353:$CR$2395&amp;" ",$CJ30)))),"")</f>
        <v>0</v>
      </c>
      <c r="CJ30" s="581"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sucre semoule </v>
      </c>
      <c r="CK30" s="581">
        <f>IF(30=30,IF($U30="","",SUMPRODUCT(--ISNUMBER(SEARCH(" "&amp;$CR$2412:$CR$2416&amp;" ",$CJ30)))),"")</f>
        <v>0</v>
      </c>
      <c r="CL30" s="581" t="str">
        <f>IF(30=30,IF($U30="","",IF(SUM(CG30:CI30)&gt;0,"X",IF(CK30&gt;0,"?",""))),"")</f>
        <v/>
      </c>
      <c r="CM30" s="582"/>
      <c r="CN30" s="584" t="s">
        <v>2056</v>
      </c>
      <c r="CO30" s="584" t="s">
        <v>1887</v>
      </c>
      <c r="CP30" s="584" t="s">
        <v>1888</v>
      </c>
      <c r="CQ30" s="584" t="s">
        <v>2057</v>
      </c>
      <c r="CR30" s="584" t="s">
        <v>2057</v>
      </c>
      <c r="CS30" s="584" t="s">
        <v>1890</v>
      </c>
      <c r="CT30" s="584" t="s">
        <v>1891</v>
      </c>
      <c r="CU30" s="584" t="s">
        <v>1892</v>
      </c>
      <c r="CV30" s="585" t="s">
        <v>1893</v>
      </c>
    </row>
    <row r="31" spans="1:100" ht="21.95" customHeight="1" x14ac:dyDescent="0.25">
      <c r="A31" s="597">
        <v>25</v>
      </c>
      <c r="B31" s="598" t="s">
        <v>1912</v>
      </c>
      <c r="C31" s="599" t="str">
        <f t="shared" si="0"/>
        <v>Lait *</v>
      </c>
      <c r="D31" s="600"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Lait</v>
      </c>
      <c r="E31" s="601" t="str">
        <f>IF(31=31,IF($B31="","",AF31),"")</f>
        <v/>
      </c>
      <c r="F31" s="601" t="str">
        <f>IF(31=31,IF($B31="","",AI31),"")</f>
        <v/>
      </c>
      <c r="G31" s="601" t="str">
        <f>IF(31=31,IF($B31="","",AM31),"")</f>
        <v/>
      </c>
      <c r="H31" s="601" t="str">
        <f>IF(31=31,IF($B31="","",AZ31),"")</f>
        <v/>
      </c>
      <c r="I31" s="601" t="str">
        <f>IF(31=31,IF($B31="","",BB31),"")</f>
        <v/>
      </c>
      <c r="J31" s="601" t="str">
        <f>IF(31=31,IF($B31="","",BF31),"")</f>
        <v/>
      </c>
      <c r="K31" s="601" t="str">
        <f>IF(31=31,IF($B31="","",BM31),"")</f>
        <v>X</v>
      </c>
      <c r="L31" s="601" t="str">
        <f>IF(31=31,IF($B31="","",BQ31),"")</f>
        <v/>
      </c>
      <c r="M31" s="601" t="str">
        <f>IF(31=31,IF($B31="","",BT31),"")</f>
        <v/>
      </c>
      <c r="N31" s="601" t="str">
        <f>IF(31=31,IF($B31="","",BW31),"")</f>
        <v/>
      </c>
      <c r="O31" s="601" t="str">
        <f>IF(31=31,IF($B31="","",BZ31),"")</f>
        <v/>
      </c>
      <c r="P31" s="601" t="str">
        <f>IF(31=31,IF($B31="","",CC31),"")</f>
        <v/>
      </c>
      <c r="Q31" s="601" t="str">
        <f>IF(31=31,IF($B31="","",CF31),"")</f>
        <v/>
      </c>
      <c r="R31" s="601" t="str">
        <f>IF(31=31,IF($B31="","",CL31),"")</f>
        <v/>
      </c>
      <c r="S31" s="602"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
      </c>
      <c r="U31" s="581" t="str">
        <f>IF(31=31,IF($B31="","",$B31),"")</f>
        <v>Lait</v>
      </c>
      <c r="V31" s="581" t="str">
        <f>IF(31=31,LOWER(CLEAN(SUBSTITUTE(SUBSTITUTE(SUBSTITUTE(SUBSTITUTE($U31,CHAR(160)," ")," "," "),CHAR(10)," "),CHAR(13)," "))),"")</f>
        <v>lait</v>
      </c>
      <c r="W31" s="581" t="str">
        <f>IF(31=31,SUBSTITUTE(SUBSTITUTE(SUBSTITUTE(SUBSTITUTE(SUBSTITUTE(SUBSTITUTE(SUBSTITUTE(SUBSTITUTE(SUBSTITUTE(SUBSTITUTE(SUBSTITUTE(SUBSTITUTE($V31,"œ","oe"),"æ","ae"),"à","a"),"á","a"),"â","a"),"ä","a"),"ã","a"),"ç","c"),"è","e"),"é","e"),"ê","e"),"ë","e"),"")</f>
        <v>lait</v>
      </c>
      <c r="X31" s="581" t="str">
        <f>IF(31=31,SUBSTITUTE(SUBSTITUTE(SUBSTITUTE(SUBSTITUTE(SUBSTITUTE(SUBSTITUTE(SUBSTITUTE(SUBSTITUTE(SUBSTITUTE(SUBSTITUTE(SUBSTITUTE(SUBSTITUTE(SUBSTITUTE(SUBSTITUTE(SUBSTITUTE(SUBSTITUTE($W31,"ì","i"),"í","i"),"î","i"),"ï","i"),"ñ","n"),"ò","o"),"ó","o"),"ô","o"),"ö","o"),"õ","o"),"ù","u"),"ú","u"),"û","u"),"ü","u"),"ý","y"),"ÿ","y"),"")</f>
        <v>lait</v>
      </c>
      <c r="Y31" s="581" t="str">
        <f>IF(31=31,SUBSTITUTE(SUBSTITUTE(SUBSTITUTE(SUBSTITUTE(SUBSTITUTE(SUBSTITUTE(SUBSTITUTE(SUBSTITUTE(SUBSTITUTE(SUBSTITUTE(SUBSTITUTE(SUBSTITUTE(SUBSTITUTE(SUBSTITUTE($X31,"’"," "),"`"," "),"–"," "),"—"," "),"-"," "),"'"," "),"/"," "),"_"," "),","," "),"."," "),"("," "),")"," "),";"," "),":"," "),"")</f>
        <v>lait</v>
      </c>
      <c r="Z31" s="581" t="str">
        <f>IF(31=31,SUBSTITUTE(SUBSTITUTE(SUBSTITUTE(SUBSTITUTE(SUBSTITUTE(SUBSTITUTE(SUBSTITUTE(SUBSTITUTE(SUBSTITUTE(SUBSTITUTE(SUBSTITUTE(SUBSTITUTE(SUBSTITUTE(SUBSTITUTE(SUBSTITUTE($Y31,"!"," "),"?"," "),"+"," "),"*"," "),"&amp;"," "),"["," "),"]"," "),"{"," "),"}"," "),"%"," "),"="," "),"\"," "),"|"," "),"&lt;"," "),"&gt;"," "),"")</f>
        <v>lait</v>
      </c>
      <c r="AA31" s="581" t="str">
        <f>IF(31=31," "&amp;TRIM(SUBSTITUTE(SUBSTITUTE(SUBSTITUTE(SUBSTITUTE(SUBSTITUTE(SUBSTITUTE($Z31,CHAR(34)," "),"  "," "),"  "," "),"  "," "),"  "," "),"  "," "))&amp;" ","")</f>
        <v xml:space="preserve"> lait </v>
      </c>
      <c r="AB31" s="581">
        <f>IF(31=31,IF($U31="","",SUMPRODUCT(--ISNUMBER(SEARCH(" "&amp;$CR$2:$CR$101&amp;" ",$AD31)))),"")</f>
        <v>0</v>
      </c>
      <c r="AC31" s="581">
        <f>IF(31=31,IF($U31="","",SUMPRODUCT(--ISNUMBER(SEARCH(" "&amp;$CR$102:$CR$151&amp;" ",$AD31)))),"")</f>
        <v>0</v>
      </c>
      <c r="AD31" s="581" t="e">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1" s="581">
        <f>IF(31=31,IF($U31="","",SUMPRODUCT(--ISNUMBER(SEARCH(" "&amp;$CR$184:$CR$205&amp;" ",$AD31)))),"")</f>
        <v>0</v>
      </c>
      <c r="AF31" s="581" t="str">
        <f>IF(31=31,IF($U31="","",IF(SUM(AB31:AC31)+SUMPRODUCT(--ISNUMBER(SEARCH(" "&amp;$CR$2418:$CR$2420&amp;" ",$AD31)))&gt;0,"X",IF(AE31&gt;0,"?",""))),"")</f>
        <v/>
      </c>
      <c r="AG31" s="581">
        <f>IF(31=31,IF($U31="","",SUMPRODUCT(--ISNUMBER(SEARCH(" "&amp;$CR$206:$CR$305&amp;" ",$AA31)))),"")</f>
        <v>0</v>
      </c>
      <c r="AH31" s="581">
        <f>IF(31=31,IF($U31="","",SUMPRODUCT(--ISNUMBER(SEARCH(" "&amp;$CR$306:$CR$340&amp;" ",$AA31)))),"")</f>
        <v>0</v>
      </c>
      <c r="AI31" s="581" t="str">
        <f>IF(31=31,IF($U31="","",IF((SUM(AG31:AH31))-(0)&gt;0,"X",IF((0)-(0)&gt;0,"?",""))),"")</f>
        <v/>
      </c>
      <c r="AJ31" s="581">
        <f>IF(31=31,IF($U31="","",SUMPRODUCT(--ISNUMBER(SEARCH(" "&amp;$CR$341:$CR$398&amp;" ",$AA31)))),"")</f>
        <v>0</v>
      </c>
      <c r="AK31" s="581">
        <f>IF(31=31,IF($U31="","",SUMPRODUCT(--ISNUMBER(SEARCH(" "&amp;$CR$399:$CR$426&amp;" ",$AL31)))+SUMPRODUCT(--ISNUMBER(SEARCH(" "&amp;$CR$2440:$CR$2453&amp;" ",$AL31)))),"")</f>
        <v>0</v>
      </c>
      <c r="AL31" s="581" t="str">
        <f>IF(31=31,IF($U31="","",SUBSTITUTE(SUBSTITUTE(SUBSTITUTE(SUBSTITUTE(SUBSTITUTE(SUBSTITUTE(SUBSTITUTE(SUBSTITUTE(SUBSTITUTE(SUBSTITUTE(SUBSTITUTE(SUBSTITUTE(SUBSTITUTE($AA31," "&amp;$CR$433&amp;" "," ")," "&amp;$CR$431&amp;" "," ")," "&amp;$CR$2438&amp;" "," ")," "&amp;$CR$2439&amp;" "," ")," "&amp;$CR$428&amp;" "," ")," "&amp;$CR$432&amp;" "," ")," "&amp;$CR$434&amp;" "," ")," "&amp;$CR$429&amp;" "," ")," "&amp;$CR$427&amp;" "," ")," "&amp;$CR$1367&amp;" "," ")," "&amp;$CR$435&amp;" "," ")," "&amp;$CR$1366&amp;" "," ")," "&amp;$CR$430&amp;" "," ")),"")</f>
        <v xml:space="preserve"> lait </v>
      </c>
      <c r="AM31" s="581" t="str">
        <f>IF(31=31,IF($U31="","",IF(AJ31&gt;0,"X",IF(AK31&gt;0,"?",""))),"")</f>
        <v/>
      </c>
      <c r="AN31" s="581">
        <f>IF(31=31,IF($U31="","",SUMPRODUCT(--ISNUMBER(SEARCH(" "&amp;$CR$436:$CR$535&amp;" ",$AX31)))),"")</f>
        <v>0</v>
      </c>
      <c r="AO31" s="581">
        <f>IF(31=31,IF($U31="","",SUMPRODUCT(--ISNUMBER(SEARCH(" "&amp;$CR$536:$CR$635&amp;" ",$AX31)))),"")</f>
        <v>0</v>
      </c>
      <c r="AP31" s="581">
        <f>IF(31=31,IF($U31="","",SUMPRODUCT(--ISNUMBER(SEARCH(" "&amp;$CR$636:$CR$735&amp;" ",$AX31)))),"")</f>
        <v>0</v>
      </c>
      <c r="AQ31" s="581">
        <f>IF(31=31,IF($U31="","",SUMPRODUCT(--ISNUMBER(SEARCH(" "&amp;$CR$736:$CR$835&amp;" ",$AX31)))),"")</f>
        <v>0</v>
      </c>
      <c r="AR31" s="581">
        <f>IF(31=31,IF($U31="","",SUMPRODUCT(--ISNUMBER(SEARCH(" "&amp;$CR$836:$CR$935&amp;" ",$AX31)))),"")</f>
        <v>0</v>
      </c>
      <c r="AS31" s="581">
        <f>IF(31=31,IF($U31="","",SUMPRODUCT(--ISNUMBER(SEARCH(" "&amp;$CR$936:$CR$1035&amp;" ",$AX31)))),"")</f>
        <v>0</v>
      </c>
      <c r="AT31" s="581">
        <f>IF(31=31,IF($U31="","",SUMPRODUCT(--ISNUMBER(SEARCH(" "&amp;$CR$1036:$CR$1135&amp;" ",$AX31)))),"")</f>
        <v>0</v>
      </c>
      <c r="AU31" s="581">
        <f>IF(31=31,IF($U31="","",SUMPRODUCT(--ISNUMBER(SEARCH(" "&amp;$CR$1136:$CR$1235&amp;" ",$AX31)))),"")</f>
        <v>0</v>
      </c>
      <c r="AV31" s="581">
        <f>IF(31=31,IF($U31="","",SUMPRODUCT(--ISNUMBER(SEARCH(" "&amp;$CR$1236:$CR$1335&amp;" ",$AX31)))),"")</f>
        <v>0</v>
      </c>
      <c r="AW31" s="581">
        <f>IF(31=31,IF($U31="","",SUMPRODUCT(--ISNUMBER(SEARCH(" "&amp;$CR$1336:$CR$1363&amp;" ",$AX31)))),"")</f>
        <v>0</v>
      </c>
      <c r="AX31" s="581" t="str">
        <f>IF(31=31,IF($U31="","",SUBSTITUTE(SUBSTITUTE(SUBSTITUTE(SUBSTITUTE(SUBSTITUTE(SUBSTITUTE(SUBSTITUTE(SUBSTITUTE(SUBSTITUTE($AA31," "&amp;$CR$1365&amp;" "," ")," "&amp;$CR$1364&amp;" "," ")," "&amp;$CR$1370&amp;" "," ")," "&amp;$CR$1371&amp;" "," ")," "&amp;$CR$1367&amp;" "," ")," "&amp;$CR$1369&amp;" "," ")," "&amp;$CR$1366&amp;" "," ")," "&amp;$CR$1368&amp;" "," ")," "&amp;$CR$1372&amp;" "," ")),"")</f>
        <v xml:space="preserve"> lait </v>
      </c>
      <c r="AY31" s="581">
        <f>IF(31=31,IF($U31="","",SUMPRODUCT(--ISNUMBER(SEARCH(" "&amp;$CR$1373:$CR$1383&amp;" ",$AX31)))),"")</f>
        <v>0</v>
      </c>
      <c r="AZ31" s="581" t="str">
        <f>IF(31=31,IF($U31="","",IF(SUM(AN31:AW31)+SUMPRODUCT(--ISNUMBER(SEARCH(" "&amp;$CR$2421:$CR$2422&amp;" ",$AX31)))&gt;0,"X",IF(AY31&gt;0,"?",""))),"")</f>
        <v/>
      </c>
      <c r="BA31" s="581">
        <f>IF(31=31,IF($U31="","",SUMPRODUCT(--ISNUMBER(SEARCH(" "&amp;$CR$1384:$CR$1404&amp;" ",$AA31)))),"")</f>
        <v>0</v>
      </c>
      <c r="BB31" s="581" t="str">
        <f>IF(31=31,IF($U31="","",IF((BA31)-(0)&gt;0,"X",IF((0)-(0)&gt;0,"?",""))),"")</f>
        <v/>
      </c>
      <c r="BC31" s="581">
        <f>IF(31=31,IF($U31="","",SUMPRODUCT(--ISNUMBER(SEARCH(" "&amp;$CR$1405:$CR$1442&amp;" ",$BD31)))),"")</f>
        <v>0</v>
      </c>
      <c r="BD31" s="581" t="str">
        <f>IF(31=31,IF($U31="","",SUBSTITUTE(SUBSTITUTE($AA31," "&amp;$CR$1443&amp;" "," ")," "&amp;$CR$1444&amp;" "," ")),"")</f>
        <v xml:space="preserve"> lait </v>
      </c>
      <c r="BE31" s="581">
        <f>IF(31=31,IF($U31="","",SUMPRODUCT(--ISNUMBER(SEARCH(" "&amp;$CR$1445:$CR$1455&amp;" ",$BD31)))),"")</f>
        <v>0</v>
      </c>
      <c r="BF31" s="581" t="str">
        <f>IF(31=31,IF($U31="","",IF(BC31&gt;0,"X",IF(BE31&gt;0,"?",""))),"")</f>
        <v/>
      </c>
      <c r="BG31" s="581">
        <f>IF(31=31,IF($U31="","",SUMPRODUCT(--ISNUMBER(SEARCH(" "&amp;$CR$1456:$CR$1555&amp;" ",$BJ31)))),"")</f>
        <v>0</v>
      </c>
      <c r="BH31" s="581">
        <f>IF(31=31,IF($U31="","",SUMPRODUCT(--ISNUMBER(SEARCH(" "&amp;$CR$1556:$CR$1655&amp;" ",$BJ31)))),"")</f>
        <v>1</v>
      </c>
      <c r="BI31" s="581">
        <f>IF(31=31,IF($U31="","",SUMPRODUCT(--ISNUMBER(SEARCH(" "&amp;$CR$1656:$CR$1739&amp;" ",$BJ31)))),"")</f>
        <v>0</v>
      </c>
      <c r="BJ31" s="581"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1" s="581">
        <f>IF(31=31,IF($U31="","",SUMPRODUCT(--ISNUMBER(SEARCH(" "&amp;$CR$1790:$CR$1869&amp;" ",$BL31)))+SUMPRODUCT(--ISNUMBER(SEARCH(" "&amp;$CR$2440:$CR$2453&amp;" ",$BL31)))),"")</f>
        <v>0</v>
      </c>
      <c r="BL31" s="581"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lait </v>
      </c>
      <c r="BM31" s="581" t="str">
        <f>IF(31=31,IF($U31="","",IF(SUM(BG31:BI31)+SUMPRODUCT(--ISNUMBER(SEARCH(" "&amp;$CR$2423:$CR$2424&amp;" ",$BJ31)))&gt;0,"X",IF(BK31&gt;0,"?",""))),"")</f>
        <v>X</v>
      </c>
      <c r="BN31" s="581">
        <f>IF(31=31,IF($U31="","",SUMPRODUCT(--ISNUMBER(SEARCH(" "&amp;$CR$1879:$CR$1936&amp;" ",$BO31)))),"")</f>
        <v>0</v>
      </c>
      <c r="BO31" s="581"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1" s="581">
        <f>IF(31=31,IF($U31="","",SUMPRODUCT(--ISNUMBER(SEARCH(" "&amp;$CR$1960:$CR$1976&amp;" ",$BO31)))),"")</f>
        <v>0</v>
      </c>
      <c r="BQ31" s="581" t="str">
        <f>IF(31=31,IF($U31="","",IF(BN31&gt;0,"X",IF(BP31&gt;0,"?",""))),"")</f>
        <v/>
      </c>
      <c r="BR31" s="581">
        <f>IF(31=31,IF($U31="","",SUMPRODUCT(--ISNUMBER(SEARCH(" "&amp;$CR$1977:$CR$1990&amp;" ",$AA31)))),"")</f>
        <v>0</v>
      </c>
      <c r="BS31" s="581">
        <f>IF(31=31,IF($U31="","",SUMPRODUCT(--ISNUMBER(SEARCH(" "&amp;$CR$1991:$CR$2005&amp;" ",$AA31)))),"")</f>
        <v>0</v>
      </c>
      <c r="BT31" s="581" t="str">
        <f>IF(31=31,IF($U31="","",IF((BR31)-(0)&gt;0,"X",IF((BS31)-(0)&gt;0,"?",""))),"")</f>
        <v/>
      </c>
      <c r="BU31" s="581">
        <f>IF(31=31,IF($U31="","",SUMPRODUCT(--ISNUMBER(SEARCH(" "&amp;$CR$2006:$CR$2023&amp;" ",$AA31)))),"")</f>
        <v>0</v>
      </c>
      <c r="BV31" s="581">
        <f>IF(31=31,IF($U31="","",SUMPRODUCT(--ISNUMBER(SEARCH(" "&amp;$CR$2024:$CR$2038&amp;" ",$AA31)))),"")</f>
        <v>0</v>
      </c>
      <c r="BW31" s="581" t="str">
        <f>IF(31=31,IF($U31="","",IF((BU31)-(0)&gt;0,"X",IF((BV31)-(0)&gt;0,"?",""))),"")</f>
        <v/>
      </c>
      <c r="BX31" s="581">
        <f>IF(31=31,IF($U31="","",SUMPRODUCT(--ISNUMBER(SEARCH(" "&amp;$CR$2039:$CR$2057&amp;" ",$AA31)))),"")</f>
        <v>0</v>
      </c>
      <c r="BY31" s="581">
        <f>IF(31=31,IF($U31="","",SUMPRODUCT(--ISNUMBER(SEARCH(" "&amp;$CR$2058:$CR$2072&amp;" ",$AA31)))),"")</f>
        <v>0</v>
      </c>
      <c r="BZ31" s="581" t="str">
        <f>IF(31=31,IF($U31="","",IF((BX31)-(0)&gt;0,"X",IF((BY31)-(0)&gt;0,"?",""))),"")</f>
        <v/>
      </c>
      <c r="CA31" s="581">
        <f>IF(31=31,IF($U31="","",SUMPRODUCT(--ISNUMBER(SEARCH(" "&amp;$CR$2073:$CR$2093&amp;" ",$AA31)))),"")</f>
        <v>0</v>
      </c>
      <c r="CB31" s="581">
        <f>IF(31=31,IF($U31="","",SUMPRODUCT(--ISNUMBER(SEARCH(" "&amp;$CR$2094:$CR$2133&amp;" ",SUBSTITUTE(SUBSTITUTE($AA31," "&amp;$CR$1367&amp;" "," ")," "&amp;$CR$1366&amp;" "," "))))+--ISNUMBER(SEARCH("poiré",$V31))),"")</f>
        <v>0</v>
      </c>
      <c r="CC31" s="581" t="str">
        <f>IF(31=31,IF($U31="","",IF(OR(CA31&gt;0,ISNUMBER(SEARCH(" vinaigre de vin ",$AA31)),ISNUMBER(SEARCH(" vinaigre au vin ",$AA31))),"X",IF(CB31&gt;0,"?",""))),"")</f>
        <v/>
      </c>
      <c r="CD31" s="581">
        <f>IF(31=31,IF($U31="","",SUMPRODUCT(--ISNUMBER(SEARCH(" "&amp;$CR$2134:$CR$2146&amp;" ",$AA31)))),"")</f>
        <v>0</v>
      </c>
      <c r="CE31" s="581">
        <f>IF(31=31,IF($U31="","",SUMPRODUCT(--ISNUMBER(SEARCH(" "&amp;$CR$2147:$CR$2152&amp;" ",$AA31)))),"")</f>
        <v>0</v>
      </c>
      <c r="CF31" s="581" t="str">
        <f>IF(31=31,IF($U31="","",IF((CD31)-(0)&gt;0,"X",IF((CE31)-(0)&gt;0,"?",""))),"")</f>
        <v/>
      </c>
      <c r="CG31" s="581">
        <f>IF(31=31,IF($U31="","",SUMPRODUCT(--ISNUMBER(SEARCH(" "&amp;$CR$2153:$CR$2252&amp;" ",$CJ31)))),"")</f>
        <v>0</v>
      </c>
      <c r="CH31" s="581">
        <f>IF(31=31,IF($U31="","",SUMPRODUCT(--ISNUMBER(SEARCH(" "&amp;$CR$2253:$CR$2352&amp;" ",$CJ31)))),"")</f>
        <v>0</v>
      </c>
      <c r="CI31" s="581">
        <f>IF(31=31,IF($U31="","",SUMPRODUCT(--ISNUMBER(SEARCH(" "&amp;$CR$2353:$CR$2395&amp;" ",$CJ31)))),"")</f>
        <v>0</v>
      </c>
      <c r="CJ31" s="581"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lait </v>
      </c>
      <c r="CK31" s="581">
        <f>IF(31=31,IF($U31="","",SUMPRODUCT(--ISNUMBER(SEARCH(" "&amp;$CR$2412:$CR$2416&amp;" ",$CJ31)))),"")</f>
        <v>0</v>
      </c>
      <c r="CL31" s="581" t="str">
        <f>IF(31=31,IF($U31="","",IF(SUM(CG31:CI31)&gt;0,"X",IF(CK31&gt;0,"?",""))),"")</f>
        <v/>
      </c>
      <c r="CM31" s="582"/>
      <c r="CN31" s="584" t="s">
        <v>2058</v>
      </c>
      <c r="CO31" s="584" t="s">
        <v>1887</v>
      </c>
      <c r="CP31" s="584" t="s">
        <v>1888</v>
      </c>
      <c r="CQ31" s="584" t="s">
        <v>2059</v>
      </c>
      <c r="CR31" s="584" t="s">
        <v>2059</v>
      </c>
      <c r="CS31" s="584" t="s">
        <v>1890</v>
      </c>
      <c r="CT31" s="584" t="s">
        <v>1891</v>
      </c>
      <c r="CU31" s="584" t="s">
        <v>1892</v>
      </c>
      <c r="CV31" s="585" t="s">
        <v>1893</v>
      </c>
    </row>
    <row r="32" spans="1:100" ht="21.95" customHeight="1" x14ac:dyDescent="0.25">
      <c r="A32" s="597">
        <v>26</v>
      </c>
      <c r="B32" s="598" t="s">
        <v>2060</v>
      </c>
      <c r="C32" s="599" t="str">
        <f t="shared" si="0"/>
        <v>Farine</v>
      </c>
      <c r="D32" s="600"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601" t="str">
        <f>IF(32=32,IF($B32="","",AF32),"")</f>
        <v/>
      </c>
      <c r="F32" s="601" t="str">
        <f>IF(32=32,IF($B32="","",AI32),"")</f>
        <v/>
      </c>
      <c r="G32" s="601" t="str">
        <f>IF(32=32,IF($B32="","",AM32),"")</f>
        <v/>
      </c>
      <c r="H32" s="601" t="str">
        <f>IF(32=32,IF($B32="","",AZ32),"")</f>
        <v/>
      </c>
      <c r="I32" s="601" t="str">
        <f>IF(32=32,IF($B32="","",BB32),"")</f>
        <v/>
      </c>
      <c r="J32" s="601" t="str">
        <f>IF(32=32,IF($B32="","",BF32),"")</f>
        <v/>
      </c>
      <c r="K32" s="601" t="str">
        <f>IF(32=32,IF($B32="","",BM32),"")</f>
        <v/>
      </c>
      <c r="L32" s="601" t="str">
        <f>IF(32=32,IF($B32="","",BQ32),"")</f>
        <v/>
      </c>
      <c r="M32" s="601" t="str">
        <f>IF(32=32,IF($B32="","",BT32),"")</f>
        <v/>
      </c>
      <c r="N32" s="601" t="str">
        <f>IF(32=32,IF($B32="","",BW32),"")</f>
        <v/>
      </c>
      <c r="O32" s="601" t="str">
        <f>IF(32=32,IF($B32="","",BZ32),"")</f>
        <v/>
      </c>
      <c r="P32" s="601" t="str">
        <f>IF(32=32,IF($B32="","",CC32),"")</f>
        <v/>
      </c>
      <c r="Q32" s="601" t="str">
        <f>IF(32=32,IF($B32="","",CF32),"")</f>
        <v/>
      </c>
      <c r="R32" s="601" t="str">
        <f>IF(32=32,IF($B32="","",CL32),"")</f>
        <v/>
      </c>
      <c r="S32" s="602"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581" t="str">
        <f>IF(32=32,IF($B32="","",$B32),"")</f>
        <v>Farine</v>
      </c>
      <c r="V32" s="581" t="str">
        <f>IF(32=32,LOWER(CLEAN(SUBSTITUTE(SUBSTITUTE(SUBSTITUTE(SUBSTITUTE($U32,CHAR(160)," ")," "," "),CHAR(10)," "),CHAR(13)," "))),"")</f>
        <v>farine</v>
      </c>
      <c r="W32" s="581" t="str">
        <f>IF(32=32,SUBSTITUTE(SUBSTITUTE(SUBSTITUTE(SUBSTITUTE(SUBSTITUTE(SUBSTITUTE(SUBSTITUTE(SUBSTITUTE(SUBSTITUTE(SUBSTITUTE(SUBSTITUTE(SUBSTITUTE($V32,"œ","oe"),"æ","ae"),"à","a"),"á","a"),"â","a"),"ä","a"),"ã","a"),"ç","c"),"è","e"),"é","e"),"ê","e"),"ë","e"),"")</f>
        <v>farine</v>
      </c>
      <c r="X32" s="581" t="str">
        <f>IF(32=32,SUBSTITUTE(SUBSTITUTE(SUBSTITUTE(SUBSTITUTE(SUBSTITUTE(SUBSTITUTE(SUBSTITUTE(SUBSTITUTE(SUBSTITUTE(SUBSTITUTE(SUBSTITUTE(SUBSTITUTE(SUBSTITUTE(SUBSTITUTE(SUBSTITUTE(SUBSTITUTE($W32,"ì","i"),"í","i"),"î","i"),"ï","i"),"ñ","n"),"ò","o"),"ó","o"),"ô","o"),"ö","o"),"õ","o"),"ù","u"),"ú","u"),"û","u"),"ü","u"),"ý","y"),"ÿ","y"),"")</f>
        <v>farine</v>
      </c>
      <c r="Y32" s="581" t="str">
        <f>IF(32=32,SUBSTITUTE(SUBSTITUTE(SUBSTITUTE(SUBSTITUTE(SUBSTITUTE(SUBSTITUTE(SUBSTITUTE(SUBSTITUTE(SUBSTITUTE(SUBSTITUTE(SUBSTITUTE(SUBSTITUTE(SUBSTITUTE(SUBSTITUTE($X32,"’"," "),"`"," "),"–"," "),"—"," "),"-"," "),"'"," "),"/"," "),"_"," "),","," "),"."," "),"("," "),")"," "),";"," "),":"," "),"")</f>
        <v>farine</v>
      </c>
      <c r="Z32" s="581" t="str">
        <f>IF(32=32,SUBSTITUTE(SUBSTITUTE(SUBSTITUTE(SUBSTITUTE(SUBSTITUTE(SUBSTITUTE(SUBSTITUTE(SUBSTITUTE(SUBSTITUTE(SUBSTITUTE(SUBSTITUTE(SUBSTITUTE(SUBSTITUTE(SUBSTITUTE(SUBSTITUTE($Y32,"!"," "),"?"," "),"+"," "),"*"," "),"&amp;"," "),"["," "),"]"," "),"{"," "),"}"," "),"%"," "),"="," "),"\"," "),"|"," "),"&lt;"," "),"&gt;"," "),"")</f>
        <v>farine</v>
      </c>
      <c r="AA32" s="581" t="str">
        <f>IF(32=32," "&amp;TRIM(SUBSTITUTE(SUBSTITUTE(SUBSTITUTE(SUBSTITUTE(SUBSTITUTE(SUBSTITUTE($Z32,CHAR(34)," "),"  "," "),"  "," "),"  "," "),"  "," "),"  "," "))&amp;" ","")</f>
        <v xml:space="preserve"> farine </v>
      </c>
      <c r="AB32" s="581">
        <f>IF(32=32,IF($U32="","",SUMPRODUCT(--ISNUMBER(SEARCH(" "&amp;$CR$2:$CR$101&amp;" ",$AD32)))),"")</f>
        <v>0</v>
      </c>
      <c r="AC32" s="581">
        <f>IF(32=32,IF($U32="","",SUMPRODUCT(--ISNUMBER(SEARCH(" "&amp;$CR$102:$CR$151&amp;" ",$AD32)))),"")</f>
        <v>0</v>
      </c>
      <c r="AD32" s="581" t="e">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2" s="581">
        <f>IF(32=32,IF($U32="","",SUMPRODUCT(--ISNUMBER(SEARCH(" "&amp;$CR$184:$CR$205&amp;" ",$AD32)))),"")</f>
        <v>0</v>
      </c>
      <c r="AF32" s="581" t="str">
        <f>IF(32=32,IF($U32="","",IF(SUM(AB32:AC32)+SUMPRODUCT(--ISNUMBER(SEARCH(" "&amp;$CR$2418:$CR$2420&amp;" ",$AD32)))&gt;0,"X",IF(AE32&gt;0,"?",""))),"")</f>
        <v/>
      </c>
      <c r="AG32" s="581">
        <f>IF(32=32,IF($U32="","",SUMPRODUCT(--ISNUMBER(SEARCH(" "&amp;$CR$206:$CR$305&amp;" ",$AA32)))),"")</f>
        <v>0</v>
      </c>
      <c r="AH32" s="581">
        <f>IF(32=32,IF($U32="","",SUMPRODUCT(--ISNUMBER(SEARCH(" "&amp;$CR$306:$CR$340&amp;" ",$AA32)))),"")</f>
        <v>0</v>
      </c>
      <c r="AI32" s="581" t="str">
        <f>IF(32=32,IF($U32="","",IF((SUM(AG32:AH32))-(0)&gt;0,"X",IF((0)-(0)&gt;0,"?",""))),"")</f>
        <v/>
      </c>
      <c r="AJ32" s="581">
        <f>IF(32=32,IF($U32="","",SUMPRODUCT(--ISNUMBER(SEARCH(" "&amp;$CR$341:$CR$398&amp;" ",$AA32)))),"")</f>
        <v>0</v>
      </c>
      <c r="AK32" s="581">
        <f>IF(32=32,IF($U32="","",SUMPRODUCT(--ISNUMBER(SEARCH(" "&amp;$CR$399:$CR$426&amp;" ",$AL32)))+SUMPRODUCT(--ISNUMBER(SEARCH(" "&amp;$CR$2440:$CR$2453&amp;" ",$AL32)))),"")</f>
        <v>0</v>
      </c>
      <c r="AL32" s="581" t="str">
        <f>IF(32=32,IF($U32="","",SUBSTITUTE(SUBSTITUTE(SUBSTITUTE(SUBSTITUTE(SUBSTITUTE(SUBSTITUTE(SUBSTITUTE(SUBSTITUTE(SUBSTITUTE(SUBSTITUTE(SUBSTITUTE(SUBSTITUTE(SUBSTITUTE($AA32," "&amp;$CR$433&amp;" "," ")," "&amp;$CR$431&amp;" "," ")," "&amp;$CR$2438&amp;" "," ")," "&amp;$CR$2439&amp;" "," ")," "&amp;$CR$428&amp;" "," ")," "&amp;$CR$432&amp;" "," ")," "&amp;$CR$434&amp;" "," ")," "&amp;$CR$429&amp;" "," ")," "&amp;$CR$427&amp;" "," ")," "&amp;$CR$1367&amp;" "," ")," "&amp;$CR$435&amp;" "," ")," "&amp;$CR$1366&amp;" "," ")," "&amp;$CR$430&amp;" "," ")),"")</f>
        <v xml:space="preserve"> farine </v>
      </c>
      <c r="AM32" s="581" t="str">
        <f>IF(32=32,IF($U32="","",IF(AJ32&gt;0,"X",IF(AK32&gt;0,"?",""))),"")</f>
        <v/>
      </c>
      <c r="AN32" s="581">
        <f>IF(32=32,IF($U32="","",SUMPRODUCT(--ISNUMBER(SEARCH(" "&amp;$CR$436:$CR$535&amp;" ",$AX32)))),"")</f>
        <v>0</v>
      </c>
      <c r="AO32" s="581">
        <f>IF(32=32,IF($U32="","",SUMPRODUCT(--ISNUMBER(SEARCH(" "&amp;$CR$536:$CR$635&amp;" ",$AX32)))),"")</f>
        <v>0</v>
      </c>
      <c r="AP32" s="581">
        <f>IF(32=32,IF($U32="","",SUMPRODUCT(--ISNUMBER(SEARCH(" "&amp;$CR$636:$CR$735&amp;" ",$AX32)))),"")</f>
        <v>0</v>
      </c>
      <c r="AQ32" s="581">
        <f>IF(32=32,IF($U32="","",SUMPRODUCT(--ISNUMBER(SEARCH(" "&amp;$CR$736:$CR$835&amp;" ",$AX32)))),"")</f>
        <v>0</v>
      </c>
      <c r="AR32" s="581">
        <f>IF(32=32,IF($U32="","",SUMPRODUCT(--ISNUMBER(SEARCH(" "&amp;$CR$836:$CR$935&amp;" ",$AX32)))),"")</f>
        <v>0</v>
      </c>
      <c r="AS32" s="581">
        <f>IF(32=32,IF($U32="","",SUMPRODUCT(--ISNUMBER(SEARCH(" "&amp;$CR$936:$CR$1035&amp;" ",$AX32)))),"")</f>
        <v>0</v>
      </c>
      <c r="AT32" s="581">
        <f>IF(32=32,IF($U32="","",SUMPRODUCT(--ISNUMBER(SEARCH(" "&amp;$CR$1036:$CR$1135&amp;" ",$AX32)))),"")</f>
        <v>0</v>
      </c>
      <c r="AU32" s="581">
        <f>IF(32=32,IF($U32="","",SUMPRODUCT(--ISNUMBER(SEARCH(" "&amp;$CR$1136:$CR$1235&amp;" ",$AX32)))),"")</f>
        <v>0</v>
      </c>
      <c r="AV32" s="581">
        <f>IF(32=32,IF($U32="","",SUMPRODUCT(--ISNUMBER(SEARCH(" "&amp;$CR$1236:$CR$1335&amp;" ",$AX32)))),"")</f>
        <v>0</v>
      </c>
      <c r="AW32" s="581">
        <f>IF(32=32,IF($U32="","",SUMPRODUCT(--ISNUMBER(SEARCH(" "&amp;$CR$1336:$CR$1363&amp;" ",$AX32)))),"")</f>
        <v>0</v>
      </c>
      <c r="AX32" s="581" t="str">
        <f>IF(32=32,IF($U32="","",SUBSTITUTE(SUBSTITUTE(SUBSTITUTE(SUBSTITUTE(SUBSTITUTE(SUBSTITUTE(SUBSTITUTE(SUBSTITUTE(SUBSTITUTE($AA32," "&amp;$CR$1365&amp;" "," ")," "&amp;$CR$1364&amp;" "," ")," "&amp;$CR$1370&amp;" "," ")," "&amp;$CR$1371&amp;" "," ")," "&amp;$CR$1367&amp;" "," ")," "&amp;$CR$1369&amp;" "," ")," "&amp;$CR$1366&amp;" "," ")," "&amp;$CR$1368&amp;" "," ")," "&amp;$CR$1372&amp;" "," ")),"")</f>
        <v xml:space="preserve"> farine </v>
      </c>
      <c r="AY32" s="581">
        <f>IF(32=32,IF($U32="","",SUMPRODUCT(--ISNUMBER(SEARCH(" "&amp;$CR$1373:$CR$1383&amp;" ",$AX32)))),"")</f>
        <v>0</v>
      </c>
      <c r="AZ32" s="581" t="str">
        <f>IF(32=32,IF($U32="","",IF(SUM(AN32:AW32)+SUMPRODUCT(--ISNUMBER(SEARCH(" "&amp;$CR$2421:$CR$2422&amp;" ",$AX32)))&gt;0,"X",IF(AY32&gt;0,"?",""))),"")</f>
        <v/>
      </c>
      <c r="BA32" s="581">
        <f>IF(32=32,IF($U32="","",SUMPRODUCT(--ISNUMBER(SEARCH(" "&amp;$CR$1384:$CR$1404&amp;" ",$AA32)))),"")</f>
        <v>0</v>
      </c>
      <c r="BB32" s="581" t="str">
        <f>IF(32=32,IF($U32="","",IF((BA32)-(0)&gt;0,"X",IF((0)-(0)&gt;0,"?",""))),"")</f>
        <v/>
      </c>
      <c r="BC32" s="581">
        <f>IF(32=32,IF($U32="","",SUMPRODUCT(--ISNUMBER(SEARCH(" "&amp;$CR$1405:$CR$1442&amp;" ",$BD32)))),"")</f>
        <v>0</v>
      </c>
      <c r="BD32" s="581" t="str">
        <f>IF(32=32,IF($U32="","",SUBSTITUTE(SUBSTITUTE($AA32," "&amp;$CR$1443&amp;" "," ")," "&amp;$CR$1444&amp;" "," ")),"")</f>
        <v xml:space="preserve"> farine </v>
      </c>
      <c r="BE32" s="581">
        <f>IF(32=32,IF($U32="","",SUMPRODUCT(--ISNUMBER(SEARCH(" "&amp;$CR$1445:$CR$1455&amp;" ",$BD32)))),"")</f>
        <v>0</v>
      </c>
      <c r="BF32" s="581" t="str">
        <f>IF(32=32,IF($U32="","",IF(BC32&gt;0,"X",IF(BE32&gt;0,"?",""))),"")</f>
        <v/>
      </c>
      <c r="BG32" s="581">
        <f>IF(32=32,IF($U32="","",SUMPRODUCT(--ISNUMBER(SEARCH(" "&amp;$CR$1456:$CR$1555&amp;" ",$BJ32)))),"")</f>
        <v>0</v>
      </c>
      <c r="BH32" s="581">
        <f>IF(32=32,IF($U32="","",SUMPRODUCT(--ISNUMBER(SEARCH(" "&amp;$CR$1556:$CR$1655&amp;" ",$BJ32)))),"")</f>
        <v>0</v>
      </c>
      <c r="BI32" s="581">
        <f>IF(32=32,IF($U32="","",SUMPRODUCT(--ISNUMBER(SEARCH(" "&amp;$CR$1656:$CR$1739&amp;" ",$BJ32)))),"")</f>
        <v>0</v>
      </c>
      <c r="BJ32" s="581"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32" s="581">
        <f>IF(32=32,IF($U32="","",SUMPRODUCT(--ISNUMBER(SEARCH(" "&amp;$CR$1790:$CR$1869&amp;" ",$BL32)))+SUMPRODUCT(--ISNUMBER(SEARCH(" "&amp;$CR$2440:$CR$2453&amp;" ",$BL32)))),"")</f>
        <v>0</v>
      </c>
      <c r="BL32" s="581"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farine </v>
      </c>
      <c r="BM32" s="581" t="str">
        <f>IF(32=32,IF($U32="","",IF(SUM(BG32:BI32)+SUMPRODUCT(--ISNUMBER(SEARCH(" "&amp;$CR$2423:$CR$2424&amp;" ",$BJ32)))&gt;0,"X",IF(BK32&gt;0,"?",""))),"")</f>
        <v/>
      </c>
      <c r="BN32" s="581">
        <f>IF(32=32,IF($U32="","",SUMPRODUCT(--ISNUMBER(SEARCH(" "&amp;$CR$1879:$CR$1936&amp;" ",$BO32)))),"")</f>
        <v>0</v>
      </c>
      <c r="BO32" s="581"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32" s="581">
        <f>IF(32=32,IF($U32="","",SUMPRODUCT(--ISNUMBER(SEARCH(" "&amp;$CR$1960:$CR$1976&amp;" ",$BO32)))),"")</f>
        <v>0</v>
      </c>
      <c r="BQ32" s="581" t="str">
        <f>IF(32=32,IF($U32="","",IF(BN32&gt;0,"X",IF(BP32&gt;0,"?",""))),"")</f>
        <v/>
      </c>
      <c r="BR32" s="581">
        <f>IF(32=32,IF($U32="","",SUMPRODUCT(--ISNUMBER(SEARCH(" "&amp;$CR$1977:$CR$1990&amp;" ",$AA32)))),"")</f>
        <v>0</v>
      </c>
      <c r="BS32" s="581">
        <f>IF(32=32,IF($U32="","",SUMPRODUCT(--ISNUMBER(SEARCH(" "&amp;$CR$1991:$CR$2005&amp;" ",$AA32)))),"")</f>
        <v>0</v>
      </c>
      <c r="BT32" s="581" t="str">
        <f>IF(32=32,IF($U32="","",IF((BR32)-(0)&gt;0,"X",IF((BS32)-(0)&gt;0,"?",""))),"")</f>
        <v/>
      </c>
      <c r="BU32" s="581">
        <f>IF(32=32,IF($U32="","",SUMPRODUCT(--ISNUMBER(SEARCH(" "&amp;$CR$2006:$CR$2023&amp;" ",$AA32)))),"")</f>
        <v>0</v>
      </c>
      <c r="BV32" s="581">
        <f>IF(32=32,IF($U32="","",SUMPRODUCT(--ISNUMBER(SEARCH(" "&amp;$CR$2024:$CR$2038&amp;" ",$AA32)))),"")</f>
        <v>0</v>
      </c>
      <c r="BW32" s="581" t="str">
        <f>IF(32=32,IF($U32="","",IF((BU32)-(0)&gt;0,"X",IF((BV32)-(0)&gt;0,"?",""))),"")</f>
        <v/>
      </c>
      <c r="BX32" s="581">
        <f>IF(32=32,IF($U32="","",SUMPRODUCT(--ISNUMBER(SEARCH(" "&amp;$CR$2039:$CR$2057&amp;" ",$AA32)))),"")</f>
        <v>0</v>
      </c>
      <c r="BY32" s="581">
        <f>IF(32=32,IF($U32="","",SUMPRODUCT(--ISNUMBER(SEARCH(" "&amp;$CR$2058:$CR$2072&amp;" ",$AA32)))),"")</f>
        <v>0</v>
      </c>
      <c r="BZ32" s="581" t="str">
        <f>IF(32=32,IF($U32="","",IF((BX32)-(0)&gt;0,"X",IF((BY32)-(0)&gt;0,"?",""))),"")</f>
        <v/>
      </c>
      <c r="CA32" s="581">
        <f>IF(32=32,IF($U32="","",SUMPRODUCT(--ISNUMBER(SEARCH(" "&amp;$CR$2073:$CR$2093&amp;" ",$AA32)))),"")</f>
        <v>0</v>
      </c>
      <c r="CB32" s="581">
        <f>IF(32=32,IF($U32="","",SUMPRODUCT(--ISNUMBER(SEARCH(" "&amp;$CR$2094:$CR$2133&amp;" ",SUBSTITUTE(SUBSTITUTE($AA32," "&amp;$CR$1367&amp;" "," ")," "&amp;$CR$1366&amp;" "," "))))+--ISNUMBER(SEARCH("poiré",$V32))),"")</f>
        <v>0</v>
      </c>
      <c r="CC32" s="581" t="str">
        <f>IF(32=32,IF($U32="","",IF(OR(CA32&gt;0,ISNUMBER(SEARCH(" vinaigre de vin ",$AA32)),ISNUMBER(SEARCH(" vinaigre au vin ",$AA32))),"X",IF(CB32&gt;0,"?",""))),"")</f>
        <v/>
      </c>
      <c r="CD32" s="581">
        <f>IF(32=32,IF($U32="","",SUMPRODUCT(--ISNUMBER(SEARCH(" "&amp;$CR$2134:$CR$2146&amp;" ",$AA32)))),"")</f>
        <v>0</v>
      </c>
      <c r="CE32" s="581">
        <f>IF(32=32,IF($U32="","",SUMPRODUCT(--ISNUMBER(SEARCH(" "&amp;$CR$2147:$CR$2152&amp;" ",$AA32)))),"")</f>
        <v>0</v>
      </c>
      <c r="CF32" s="581" t="str">
        <f>IF(32=32,IF($U32="","",IF((CD32)-(0)&gt;0,"X",IF((CE32)-(0)&gt;0,"?",""))),"")</f>
        <v/>
      </c>
      <c r="CG32" s="581">
        <f>IF(32=32,IF($U32="","",SUMPRODUCT(--ISNUMBER(SEARCH(" "&amp;$CR$2153:$CR$2252&amp;" ",$CJ32)))),"")</f>
        <v>0</v>
      </c>
      <c r="CH32" s="581">
        <f>IF(32=32,IF($U32="","",SUMPRODUCT(--ISNUMBER(SEARCH(" "&amp;$CR$2253:$CR$2352&amp;" ",$CJ32)))),"")</f>
        <v>0</v>
      </c>
      <c r="CI32" s="581">
        <f>IF(32=32,IF($U32="","",SUMPRODUCT(--ISNUMBER(SEARCH(" "&amp;$CR$2353:$CR$2395&amp;" ",$CJ32)))),"")</f>
        <v>0</v>
      </c>
      <c r="CJ32" s="581"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farine </v>
      </c>
      <c r="CK32" s="581">
        <f>IF(32=32,IF($U32="","",SUMPRODUCT(--ISNUMBER(SEARCH(" "&amp;$CR$2412:$CR$2416&amp;" ",$CJ32)))),"")</f>
        <v>0</v>
      </c>
      <c r="CL32" s="581" t="str">
        <f>IF(32=32,IF($U32="","",IF(SUM(CG32:CI32)&gt;0,"X",IF(CK32&gt;0,"?",""))),"")</f>
        <v/>
      </c>
      <c r="CM32" s="582"/>
      <c r="CN32" s="584" t="s">
        <v>2061</v>
      </c>
      <c r="CO32" s="584" t="s">
        <v>1887</v>
      </c>
      <c r="CP32" s="584" t="s">
        <v>1888</v>
      </c>
      <c r="CQ32" s="584" t="s">
        <v>2062</v>
      </c>
      <c r="CR32" s="584" t="s">
        <v>2062</v>
      </c>
      <c r="CS32" s="584" t="s">
        <v>1890</v>
      </c>
      <c r="CT32" s="584" t="s">
        <v>1891</v>
      </c>
      <c r="CU32" s="584" t="s">
        <v>1892</v>
      </c>
      <c r="CV32" s="585" t="s">
        <v>1893</v>
      </c>
    </row>
    <row r="33" spans="1:100" ht="21.95" customHeight="1" x14ac:dyDescent="0.25">
      <c r="A33" s="597">
        <v>27</v>
      </c>
      <c r="B33" s="598" t="s">
        <v>2063</v>
      </c>
      <c r="C33" s="599" t="str">
        <f t="shared" si="0"/>
        <v>margarine ?</v>
      </c>
      <c r="D33" s="600"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601" t="str">
        <f>IF(33=33,IF($B33="","",AF33),"")</f>
        <v/>
      </c>
      <c r="F33" s="601" t="str">
        <f>IF(33=33,IF($B33="","",AI33),"")</f>
        <v/>
      </c>
      <c r="G33" s="601" t="str">
        <f>IF(33=33,IF($B33="","",AM33),"")</f>
        <v/>
      </c>
      <c r="H33" s="601" t="str">
        <f>IF(33=33,IF($B33="","",AZ33),"")</f>
        <v/>
      </c>
      <c r="I33" s="601" t="str">
        <f>IF(33=33,IF($B33="","",BB33),"")</f>
        <v/>
      </c>
      <c r="J33" s="601" t="str">
        <f>IF(33=33,IF($B33="","",BF33),"")</f>
        <v>?</v>
      </c>
      <c r="K33" s="601" t="str">
        <f>IF(33=33,IF($B33="","",BM33),"")</f>
        <v>?</v>
      </c>
      <c r="L33" s="601" t="str">
        <f>IF(33=33,IF($B33="","",BQ33),"")</f>
        <v/>
      </c>
      <c r="M33" s="601" t="str">
        <f>IF(33=33,IF($B33="","",BT33),"")</f>
        <v/>
      </c>
      <c r="N33" s="601" t="str">
        <f>IF(33=33,IF($B33="","",BW33),"")</f>
        <v/>
      </c>
      <c r="O33" s="601" t="str">
        <f>IF(33=33,IF($B33="","",BZ33),"")</f>
        <v/>
      </c>
      <c r="P33" s="601" t="str">
        <f>IF(33=33,IF($B33="","",CC33),"")</f>
        <v/>
      </c>
      <c r="Q33" s="601" t="str">
        <f>IF(33=33,IF($B33="","",CF33),"")</f>
        <v/>
      </c>
      <c r="R33" s="601" t="str">
        <f>IF(33=33,IF($B33="","",CL33),"")</f>
        <v/>
      </c>
      <c r="S33" s="602"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Soja, Lait</v>
      </c>
      <c r="U33" s="581" t="str">
        <f>IF(33=33,IF($B33="","",$B33),"")</f>
        <v>margarine</v>
      </c>
      <c r="V33" s="581" t="str">
        <f>IF(33=33,LOWER(CLEAN(SUBSTITUTE(SUBSTITUTE(SUBSTITUTE(SUBSTITUTE($U33,CHAR(160)," ")," "," "),CHAR(10)," "),CHAR(13)," "))),"")</f>
        <v>margarine</v>
      </c>
      <c r="W33" s="581" t="str">
        <f>IF(33=33,SUBSTITUTE(SUBSTITUTE(SUBSTITUTE(SUBSTITUTE(SUBSTITUTE(SUBSTITUTE(SUBSTITUTE(SUBSTITUTE(SUBSTITUTE(SUBSTITUTE(SUBSTITUTE(SUBSTITUTE($V33,"œ","oe"),"æ","ae"),"à","a"),"á","a"),"â","a"),"ä","a"),"ã","a"),"ç","c"),"è","e"),"é","e"),"ê","e"),"ë","e"),"")</f>
        <v>margarine</v>
      </c>
      <c r="X33" s="581" t="str">
        <f>IF(33=33,SUBSTITUTE(SUBSTITUTE(SUBSTITUTE(SUBSTITUTE(SUBSTITUTE(SUBSTITUTE(SUBSTITUTE(SUBSTITUTE(SUBSTITUTE(SUBSTITUTE(SUBSTITUTE(SUBSTITUTE(SUBSTITUTE(SUBSTITUTE(SUBSTITUTE(SUBSTITUTE($W33,"ì","i"),"í","i"),"î","i"),"ï","i"),"ñ","n"),"ò","o"),"ó","o"),"ô","o"),"ö","o"),"õ","o"),"ù","u"),"ú","u"),"û","u"),"ü","u"),"ý","y"),"ÿ","y"),"")</f>
        <v>margarine</v>
      </c>
      <c r="Y33" s="581" t="str">
        <f>IF(33=33,SUBSTITUTE(SUBSTITUTE(SUBSTITUTE(SUBSTITUTE(SUBSTITUTE(SUBSTITUTE(SUBSTITUTE(SUBSTITUTE(SUBSTITUTE(SUBSTITUTE(SUBSTITUTE(SUBSTITUTE(SUBSTITUTE(SUBSTITUTE($X33,"’"," "),"`"," "),"–"," "),"—"," "),"-"," "),"'"," "),"/"," "),"_"," "),","," "),"."," "),"("," "),")"," "),";"," "),":"," "),"")</f>
        <v>margarine</v>
      </c>
      <c r="Z33" s="581" t="str">
        <f>IF(33=33,SUBSTITUTE(SUBSTITUTE(SUBSTITUTE(SUBSTITUTE(SUBSTITUTE(SUBSTITUTE(SUBSTITUTE(SUBSTITUTE(SUBSTITUTE(SUBSTITUTE(SUBSTITUTE(SUBSTITUTE(SUBSTITUTE(SUBSTITUTE(SUBSTITUTE($Y33,"!"," "),"?"," "),"+"," "),"*"," "),"&amp;"," "),"["," "),"]"," "),"{"," "),"}"," "),"%"," "),"="," "),"\"," "),"|"," "),"&lt;"," "),"&gt;"," "),"")</f>
        <v>margarine</v>
      </c>
      <c r="AA33" s="581" t="str">
        <f>IF(33=33," "&amp;TRIM(SUBSTITUTE(SUBSTITUTE(SUBSTITUTE(SUBSTITUTE(SUBSTITUTE(SUBSTITUTE($Z33,CHAR(34)," "),"  "," "),"  "," "),"  "," "),"  "," "),"  "," "))&amp;" ","")</f>
        <v xml:space="preserve"> margarine </v>
      </c>
      <c r="AB33" s="581">
        <f>IF(33=33,IF($U33="","",SUMPRODUCT(--ISNUMBER(SEARCH(" "&amp;$CR$2:$CR$101&amp;" ",$AD33)))),"")</f>
        <v>0</v>
      </c>
      <c r="AC33" s="581">
        <f>IF(33=33,IF($U33="","",SUMPRODUCT(--ISNUMBER(SEARCH(" "&amp;$CR$102:$CR$151&amp;" ",$AD33)))),"")</f>
        <v>0</v>
      </c>
      <c r="AD33" s="581" t="e">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3" s="581">
        <f>IF(33=33,IF($U33="","",SUMPRODUCT(--ISNUMBER(SEARCH(" "&amp;$CR$184:$CR$205&amp;" ",$AD33)))),"")</f>
        <v>0</v>
      </c>
      <c r="AF33" s="581" t="str">
        <f>IF(33=33,IF($U33="","",IF(SUM(AB33:AC33)+SUMPRODUCT(--ISNUMBER(SEARCH(" "&amp;$CR$2418:$CR$2420&amp;" ",$AD33)))&gt;0,"X",IF(AE33&gt;0,"?",""))),"")</f>
        <v/>
      </c>
      <c r="AG33" s="581">
        <f>IF(33=33,IF($U33="","",SUMPRODUCT(--ISNUMBER(SEARCH(" "&amp;$CR$206:$CR$305&amp;" ",$AA33)))),"")</f>
        <v>0</v>
      </c>
      <c r="AH33" s="581">
        <f>IF(33=33,IF($U33="","",SUMPRODUCT(--ISNUMBER(SEARCH(" "&amp;$CR$306:$CR$340&amp;" ",$AA33)))),"")</f>
        <v>0</v>
      </c>
      <c r="AI33" s="581" t="str">
        <f>IF(33=33,IF($U33="","",IF((SUM(AG33:AH33))-(0)&gt;0,"X",IF((0)-(0)&gt;0,"?",""))),"")</f>
        <v/>
      </c>
      <c r="AJ33" s="581">
        <f>IF(33=33,IF($U33="","",SUMPRODUCT(--ISNUMBER(SEARCH(" "&amp;$CR$341:$CR$398&amp;" ",$AA33)))),"")</f>
        <v>0</v>
      </c>
      <c r="AK33" s="581">
        <f>IF(33=33,IF($U33="","",SUMPRODUCT(--ISNUMBER(SEARCH(" "&amp;$CR$399:$CR$426&amp;" ",$AL33)))+SUMPRODUCT(--ISNUMBER(SEARCH(" "&amp;$CR$2440:$CR$2453&amp;" ",$AL33)))),"")</f>
        <v>0</v>
      </c>
      <c r="AL33" s="581" t="str">
        <f>IF(33=33,IF($U33="","",SUBSTITUTE(SUBSTITUTE(SUBSTITUTE(SUBSTITUTE(SUBSTITUTE(SUBSTITUTE(SUBSTITUTE(SUBSTITUTE(SUBSTITUTE(SUBSTITUTE(SUBSTITUTE(SUBSTITUTE(SUBSTITUTE($AA33," "&amp;$CR$433&amp;" "," ")," "&amp;$CR$431&amp;" "," ")," "&amp;$CR$2438&amp;" "," ")," "&amp;$CR$2439&amp;" "," ")," "&amp;$CR$428&amp;" "," ")," "&amp;$CR$432&amp;" "," ")," "&amp;$CR$434&amp;" "," ")," "&amp;$CR$429&amp;" "," ")," "&amp;$CR$427&amp;" "," ")," "&amp;$CR$1367&amp;" "," ")," "&amp;$CR$435&amp;" "," ")," "&amp;$CR$1366&amp;" "," ")," "&amp;$CR$430&amp;" "," ")),"")</f>
        <v xml:space="preserve"> margarine </v>
      </c>
      <c r="AM33" s="581" t="str">
        <f>IF(33=33,IF($U33="","",IF(AJ33&gt;0,"X",IF(AK33&gt;0,"?",""))),"")</f>
        <v/>
      </c>
      <c r="AN33" s="581">
        <f>IF(33=33,IF($U33="","",SUMPRODUCT(--ISNUMBER(SEARCH(" "&amp;$CR$436:$CR$535&amp;" ",$AX33)))),"")</f>
        <v>0</v>
      </c>
      <c r="AO33" s="581">
        <f>IF(33=33,IF($U33="","",SUMPRODUCT(--ISNUMBER(SEARCH(" "&amp;$CR$536:$CR$635&amp;" ",$AX33)))),"")</f>
        <v>0</v>
      </c>
      <c r="AP33" s="581">
        <f>IF(33=33,IF($U33="","",SUMPRODUCT(--ISNUMBER(SEARCH(" "&amp;$CR$636:$CR$735&amp;" ",$AX33)))),"")</f>
        <v>0</v>
      </c>
      <c r="AQ33" s="581">
        <f>IF(33=33,IF($U33="","",SUMPRODUCT(--ISNUMBER(SEARCH(" "&amp;$CR$736:$CR$835&amp;" ",$AX33)))),"")</f>
        <v>0</v>
      </c>
      <c r="AR33" s="581">
        <f>IF(33=33,IF($U33="","",SUMPRODUCT(--ISNUMBER(SEARCH(" "&amp;$CR$836:$CR$935&amp;" ",$AX33)))),"")</f>
        <v>0</v>
      </c>
      <c r="AS33" s="581">
        <f>IF(33=33,IF($U33="","",SUMPRODUCT(--ISNUMBER(SEARCH(" "&amp;$CR$936:$CR$1035&amp;" ",$AX33)))),"")</f>
        <v>0</v>
      </c>
      <c r="AT33" s="581">
        <f>IF(33=33,IF($U33="","",SUMPRODUCT(--ISNUMBER(SEARCH(" "&amp;$CR$1036:$CR$1135&amp;" ",$AX33)))),"")</f>
        <v>0</v>
      </c>
      <c r="AU33" s="581">
        <f>IF(33=33,IF($U33="","",SUMPRODUCT(--ISNUMBER(SEARCH(" "&amp;$CR$1136:$CR$1235&amp;" ",$AX33)))),"")</f>
        <v>0</v>
      </c>
      <c r="AV33" s="581">
        <f>IF(33=33,IF($U33="","",SUMPRODUCT(--ISNUMBER(SEARCH(" "&amp;$CR$1236:$CR$1335&amp;" ",$AX33)))),"")</f>
        <v>0</v>
      </c>
      <c r="AW33" s="581">
        <f>IF(33=33,IF($U33="","",SUMPRODUCT(--ISNUMBER(SEARCH(" "&amp;$CR$1336:$CR$1363&amp;" ",$AX33)))),"")</f>
        <v>0</v>
      </c>
      <c r="AX33" s="581" t="str">
        <f>IF(33=33,IF($U33="","",SUBSTITUTE(SUBSTITUTE(SUBSTITUTE(SUBSTITUTE(SUBSTITUTE(SUBSTITUTE(SUBSTITUTE(SUBSTITUTE(SUBSTITUTE($AA33," "&amp;$CR$1365&amp;" "," ")," "&amp;$CR$1364&amp;" "," ")," "&amp;$CR$1370&amp;" "," ")," "&amp;$CR$1371&amp;" "," ")," "&amp;$CR$1367&amp;" "," ")," "&amp;$CR$1369&amp;" "," ")," "&amp;$CR$1366&amp;" "," ")," "&amp;$CR$1368&amp;" "," ")," "&amp;$CR$1372&amp;" "," ")),"")</f>
        <v xml:space="preserve"> margarine </v>
      </c>
      <c r="AY33" s="581">
        <f>IF(33=33,IF($U33="","",SUMPRODUCT(--ISNUMBER(SEARCH(" "&amp;$CR$1373:$CR$1383&amp;" ",$AX33)))),"")</f>
        <v>0</v>
      </c>
      <c r="AZ33" s="581" t="str">
        <f>IF(33=33,IF($U33="","",IF(SUM(AN33:AW33)+SUMPRODUCT(--ISNUMBER(SEARCH(" "&amp;$CR$2421:$CR$2422&amp;" ",$AX33)))&gt;0,"X",IF(AY33&gt;0,"?",""))),"")</f>
        <v/>
      </c>
      <c r="BA33" s="581">
        <f>IF(33=33,IF($U33="","",SUMPRODUCT(--ISNUMBER(SEARCH(" "&amp;$CR$1384:$CR$1404&amp;" ",$AA33)))),"")</f>
        <v>0</v>
      </c>
      <c r="BB33" s="581" t="str">
        <f>IF(33=33,IF($U33="","",IF((BA33)-(0)&gt;0,"X",IF((0)-(0)&gt;0,"?",""))),"")</f>
        <v/>
      </c>
      <c r="BC33" s="581">
        <f>IF(33=33,IF($U33="","",SUMPRODUCT(--ISNUMBER(SEARCH(" "&amp;$CR$1405:$CR$1442&amp;" ",$BD33)))),"")</f>
        <v>0</v>
      </c>
      <c r="BD33" s="581" t="str">
        <f>IF(33=33,IF($U33="","",SUBSTITUTE(SUBSTITUTE($AA33," "&amp;$CR$1443&amp;" "," ")," "&amp;$CR$1444&amp;" "," ")),"")</f>
        <v xml:space="preserve"> margarine </v>
      </c>
      <c r="BE33" s="581">
        <f>IF(33=33,IF($U33="","",SUMPRODUCT(--ISNUMBER(SEARCH(" "&amp;$CR$1445:$CR$1455&amp;" ",$BD33)))),"")</f>
        <v>1</v>
      </c>
      <c r="BF33" s="581" t="str">
        <f>IF(33=33,IF($U33="","",IF(BC33&gt;0,"X",IF(BE33&gt;0,"?",""))),"")</f>
        <v>?</v>
      </c>
      <c r="BG33" s="581">
        <f>IF(33=33,IF($U33="","",SUMPRODUCT(--ISNUMBER(SEARCH(" "&amp;$CR$1456:$CR$1555&amp;" ",$BJ33)))),"")</f>
        <v>0</v>
      </c>
      <c r="BH33" s="581">
        <f>IF(33=33,IF($U33="","",SUMPRODUCT(--ISNUMBER(SEARCH(" "&amp;$CR$1556:$CR$1655&amp;" ",$BJ33)))),"")</f>
        <v>0</v>
      </c>
      <c r="BI33" s="581">
        <f>IF(33=33,IF($U33="","",SUMPRODUCT(--ISNUMBER(SEARCH(" "&amp;$CR$1656:$CR$1739&amp;" ",$BJ33)))),"")</f>
        <v>0</v>
      </c>
      <c r="BJ33" s="581"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33" s="581">
        <f>IF(33=33,IF($U33="","",SUMPRODUCT(--ISNUMBER(SEARCH(" "&amp;$CR$1790:$CR$1869&amp;" ",$BL33)))+SUMPRODUCT(--ISNUMBER(SEARCH(" "&amp;$CR$2440:$CR$2453&amp;" ",$BL33)))),"")</f>
        <v>1</v>
      </c>
      <c r="BL33" s="581"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margarine </v>
      </c>
      <c r="BM33" s="581" t="str">
        <f>IF(33=33,IF($U33="","",IF(SUM(BG33:BI33)+SUMPRODUCT(--ISNUMBER(SEARCH(" "&amp;$CR$2423:$CR$2424&amp;" ",$BJ33)))&gt;0,"X",IF(BK33&gt;0,"?",""))),"")</f>
        <v>?</v>
      </c>
      <c r="BN33" s="581">
        <f>IF(33=33,IF($U33="","",SUMPRODUCT(--ISNUMBER(SEARCH(" "&amp;$CR$1879:$CR$1936&amp;" ",$BO33)))),"")</f>
        <v>0</v>
      </c>
      <c r="BO33" s="581"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33" s="581">
        <f>IF(33=33,IF($U33="","",SUMPRODUCT(--ISNUMBER(SEARCH(" "&amp;$CR$1960:$CR$1976&amp;" ",$BO33)))),"")</f>
        <v>0</v>
      </c>
      <c r="BQ33" s="581" t="str">
        <f>IF(33=33,IF($U33="","",IF(BN33&gt;0,"X",IF(BP33&gt;0,"?",""))),"")</f>
        <v/>
      </c>
      <c r="BR33" s="581">
        <f>IF(33=33,IF($U33="","",SUMPRODUCT(--ISNUMBER(SEARCH(" "&amp;$CR$1977:$CR$1990&amp;" ",$AA33)))),"")</f>
        <v>0</v>
      </c>
      <c r="BS33" s="581">
        <f>IF(33=33,IF($U33="","",SUMPRODUCT(--ISNUMBER(SEARCH(" "&amp;$CR$1991:$CR$2005&amp;" ",$AA33)))),"")</f>
        <v>0</v>
      </c>
      <c r="BT33" s="581" t="str">
        <f>IF(33=33,IF($U33="","",IF((BR33)-(0)&gt;0,"X",IF((BS33)-(0)&gt;0,"?",""))),"")</f>
        <v/>
      </c>
      <c r="BU33" s="581">
        <f>IF(33=33,IF($U33="","",SUMPRODUCT(--ISNUMBER(SEARCH(" "&amp;$CR$2006:$CR$2023&amp;" ",$AA33)))),"")</f>
        <v>0</v>
      </c>
      <c r="BV33" s="581">
        <f>IF(33=33,IF($U33="","",SUMPRODUCT(--ISNUMBER(SEARCH(" "&amp;$CR$2024:$CR$2038&amp;" ",$AA33)))),"")</f>
        <v>0</v>
      </c>
      <c r="BW33" s="581" t="str">
        <f>IF(33=33,IF($U33="","",IF((BU33)-(0)&gt;0,"X",IF((BV33)-(0)&gt;0,"?",""))),"")</f>
        <v/>
      </c>
      <c r="BX33" s="581">
        <f>IF(33=33,IF($U33="","",SUMPRODUCT(--ISNUMBER(SEARCH(" "&amp;$CR$2039:$CR$2057&amp;" ",$AA33)))),"")</f>
        <v>0</v>
      </c>
      <c r="BY33" s="581">
        <f>IF(33=33,IF($U33="","",SUMPRODUCT(--ISNUMBER(SEARCH(" "&amp;$CR$2058:$CR$2072&amp;" ",$AA33)))),"")</f>
        <v>0</v>
      </c>
      <c r="BZ33" s="581" t="str">
        <f>IF(33=33,IF($U33="","",IF((BX33)-(0)&gt;0,"X",IF((BY33)-(0)&gt;0,"?",""))),"")</f>
        <v/>
      </c>
      <c r="CA33" s="581">
        <f>IF(33=33,IF($U33="","",SUMPRODUCT(--ISNUMBER(SEARCH(" "&amp;$CR$2073:$CR$2093&amp;" ",$AA33)))),"")</f>
        <v>0</v>
      </c>
      <c r="CB33" s="581">
        <f>IF(33=33,IF($U33="","",SUMPRODUCT(--ISNUMBER(SEARCH(" "&amp;$CR$2094:$CR$2133&amp;" ",SUBSTITUTE(SUBSTITUTE($AA33," "&amp;$CR$1367&amp;" "," ")," "&amp;$CR$1366&amp;" "," "))))+--ISNUMBER(SEARCH("poiré",$V33))),"")</f>
        <v>0</v>
      </c>
      <c r="CC33" s="581" t="str">
        <f>IF(33=33,IF($U33="","",IF(OR(CA33&gt;0,ISNUMBER(SEARCH(" vinaigre de vin ",$AA33)),ISNUMBER(SEARCH(" vinaigre au vin ",$AA33))),"X",IF(CB33&gt;0,"?",""))),"")</f>
        <v/>
      </c>
      <c r="CD33" s="581">
        <f>IF(33=33,IF($U33="","",SUMPRODUCT(--ISNUMBER(SEARCH(" "&amp;$CR$2134:$CR$2146&amp;" ",$AA33)))),"")</f>
        <v>0</v>
      </c>
      <c r="CE33" s="581">
        <f>IF(33=33,IF($U33="","",SUMPRODUCT(--ISNUMBER(SEARCH(" "&amp;$CR$2147:$CR$2152&amp;" ",$AA33)))),"")</f>
        <v>0</v>
      </c>
      <c r="CF33" s="581" t="str">
        <f>IF(33=33,IF($U33="","",IF((CD33)-(0)&gt;0,"X",IF((CE33)-(0)&gt;0,"?",""))),"")</f>
        <v/>
      </c>
      <c r="CG33" s="581">
        <f>IF(33=33,IF($U33="","",SUMPRODUCT(--ISNUMBER(SEARCH(" "&amp;$CR$2153:$CR$2252&amp;" ",$CJ33)))),"")</f>
        <v>0</v>
      </c>
      <c r="CH33" s="581">
        <f>IF(33=33,IF($U33="","",SUMPRODUCT(--ISNUMBER(SEARCH(" "&amp;$CR$2253:$CR$2352&amp;" ",$CJ33)))),"")</f>
        <v>0</v>
      </c>
      <c r="CI33" s="581">
        <f>IF(33=33,IF($U33="","",SUMPRODUCT(--ISNUMBER(SEARCH(" "&amp;$CR$2353:$CR$2395&amp;" ",$CJ33)))),"")</f>
        <v>0</v>
      </c>
      <c r="CJ33" s="581"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33" s="581">
        <f>IF(33=33,IF($U33="","",SUMPRODUCT(--ISNUMBER(SEARCH(" "&amp;$CR$2412:$CR$2416&amp;" ",$CJ33)))),"")</f>
        <v>0</v>
      </c>
      <c r="CL33" s="581" t="str">
        <f>IF(33=33,IF($U33="","",IF(SUM(CG33:CI33)&gt;0,"X",IF(CK33&gt;0,"?",""))),"")</f>
        <v/>
      </c>
      <c r="CM33" s="582"/>
      <c r="CN33" s="584" t="s">
        <v>2064</v>
      </c>
      <c r="CO33" s="584" t="s">
        <v>1887</v>
      </c>
      <c r="CP33" s="584" t="s">
        <v>1888</v>
      </c>
      <c r="CQ33" s="584" t="s">
        <v>2065</v>
      </c>
      <c r="CR33" s="584" t="s">
        <v>2066</v>
      </c>
      <c r="CS33" s="584" t="s">
        <v>1890</v>
      </c>
      <c r="CT33" s="584" t="s">
        <v>1891</v>
      </c>
      <c r="CU33" s="584" t="s">
        <v>1892</v>
      </c>
      <c r="CV33" s="585" t="s">
        <v>1893</v>
      </c>
    </row>
    <row r="34" spans="1:100" ht="21.95" customHeight="1" x14ac:dyDescent="0.25">
      <c r="A34" s="597">
        <v>28</v>
      </c>
      <c r="B34" s="598" t="s">
        <v>2067</v>
      </c>
      <c r="C34" s="599" t="str">
        <f t="shared" si="0"/>
        <v>Emmenthal râpé *</v>
      </c>
      <c r="D34" s="600"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Lait</v>
      </c>
      <c r="E34" s="601" t="str">
        <f>IF(34=34,IF($B34="","",AF34),"")</f>
        <v/>
      </c>
      <c r="F34" s="601" t="str">
        <f>IF(34=34,IF($B34="","",AI34),"")</f>
        <v/>
      </c>
      <c r="G34" s="601" t="str">
        <f>IF(34=34,IF($B34="","",AM34),"")</f>
        <v/>
      </c>
      <c r="H34" s="601" t="str">
        <f>IF(34=34,IF($B34="","",AZ34),"")</f>
        <v/>
      </c>
      <c r="I34" s="601" t="str">
        <f>IF(34=34,IF($B34="","",BB34),"")</f>
        <v/>
      </c>
      <c r="J34" s="601" t="str">
        <f>IF(34=34,IF($B34="","",BF34),"")</f>
        <v/>
      </c>
      <c r="K34" s="601" t="str">
        <f>IF(34=34,IF($B34="","",BM34),"")</f>
        <v>X</v>
      </c>
      <c r="L34" s="601" t="str">
        <f>IF(34=34,IF($B34="","",BQ34),"")</f>
        <v/>
      </c>
      <c r="M34" s="601" t="str">
        <f>IF(34=34,IF($B34="","",BT34),"")</f>
        <v/>
      </c>
      <c r="N34" s="601" t="str">
        <f>IF(34=34,IF($B34="","",BW34),"")</f>
        <v/>
      </c>
      <c r="O34" s="601" t="str">
        <f>IF(34=34,IF($B34="","",BZ34),"")</f>
        <v/>
      </c>
      <c r="P34" s="601" t="str">
        <f>IF(34=34,IF($B34="","",CC34),"")</f>
        <v/>
      </c>
      <c r="Q34" s="601" t="str">
        <f>IF(34=34,IF($B34="","",CF34),"")</f>
        <v/>
      </c>
      <c r="R34" s="601" t="str">
        <f>IF(34=34,IF($B34="","",CL34),"")</f>
        <v/>
      </c>
      <c r="S34" s="602"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581" t="str">
        <f>IF(34=34,IF($B34="","",$B34),"")</f>
        <v>Emmenthal râpé</v>
      </c>
      <c r="V34" s="581" t="str">
        <f>IF(34=34,LOWER(CLEAN(SUBSTITUTE(SUBSTITUTE(SUBSTITUTE(SUBSTITUTE($U34,CHAR(160)," ")," "," "),CHAR(10)," "),CHAR(13)," "))),"")</f>
        <v>emmenthal râpé</v>
      </c>
      <c r="W34" s="581" t="str">
        <f>IF(34=34,SUBSTITUTE(SUBSTITUTE(SUBSTITUTE(SUBSTITUTE(SUBSTITUTE(SUBSTITUTE(SUBSTITUTE(SUBSTITUTE(SUBSTITUTE(SUBSTITUTE(SUBSTITUTE(SUBSTITUTE($V34,"œ","oe"),"æ","ae"),"à","a"),"á","a"),"â","a"),"ä","a"),"ã","a"),"ç","c"),"è","e"),"é","e"),"ê","e"),"ë","e"),"")</f>
        <v>emmenthal rape</v>
      </c>
      <c r="X34" s="581" t="str">
        <f>IF(34=34,SUBSTITUTE(SUBSTITUTE(SUBSTITUTE(SUBSTITUTE(SUBSTITUTE(SUBSTITUTE(SUBSTITUTE(SUBSTITUTE(SUBSTITUTE(SUBSTITUTE(SUBSTITUTE(SUBSTITUTE(SUBSTITUTE(SUBSTITUTE(SUBSTITUTE(SUBSTITUTE($W34,"ì","i"),"í","i"),"î","i"),"ï","i"),"ñ","n"),"ò","o"),"ó","o"),"ô","o"),"ö","o"),"õ","o"),"ù","u"),"ú","u"),"û","u"),"ü","u"),"ý","y"),"ÿ","y"),"")</f>
        <v>emmenthal rape</v>
      </c>
      <c r="Y34" s="581" t="str">
        <f>IF(34=34,SUBSTITUTE(SUBSTITUTE(SUBSTITUTE(SUBSTITUTE(SUBSTITUTE(SUBSTITUTE(SUBSTITUTE(SUBSTITUTE(SUBSTITUTE(SUBSTITUTE(SUBSTITUTE(SUBSTITUTE(SUBSTITUTE(SUBSTITUTE($X34,"’"," "),"`"," "),"–"," "),"—"," "),"-"," "),"'"," "),"/"," "),"_"," "),","," "),"."," "),"("," "),")"," "),";"," "),":"," "),"")</f>
        <v>emmenthal rape</v>
      </c>
      <c r="Z34" s="581" t="str">
        <f>IF(34=34,SUBSTITUTE(SUBSTITUTE(SUBSTITUTE(SUBSTITUTE(SUBSTITUTE(SUBSTITUTE(SUBSTITUTE(SUBSTITUTE(SUBSTITUTE(SUBSTITUTE(SUBSTITUTE(SUBSTITUTE(SUBSTITUTE(SUBSTITUTE(SUBSTITUTE($Y34,"!"," "),"?"," "),"+"," "),"*"," "),"&amp;"," "),"["," "),"]"," "),"{"," "),"}"," "),"%"," "),"="," "),"\"," "),"|"," "),"&lt;"," "),"&gt;"," "),"")</f>
        <v>emmenthal rape</v>
      </c>
      <c r="AA34" s="581" t="str">
        <f>IF(34=34," "&amp;TRIM(SUBSTITUTE(SUBSTITUTE(SUBSTITUTE(SUBSTITUTE(SUBSTITUTE(SUBSTITUTE($Z34,CHAR(34)," "),"  "," "),"  "," "),"  "," "),"  "," "),"  "," "))&amp;" ","")</f>
        <v xml:space="preserve"> emmenthal rape </v>
      </c>
      <c r="AB34" s="581">
        <f>IF(34=34,IF($U34="","",SUMPRODUCT(--ISNUMBER(SEARCH(" "&amp;$CR$2:$CR$101&amp;" ",$AD34)))),"")</f>
        <v>0</v>
      </c>
      <c r="AC34" s="581">
        <f>IF(34=34,IF($U34="","",SUMPRODUCT(--ISNUMBER(SEARCH(" "&amp;$CR$102:$CR$151&amp;" ",$AD34)))),"")</f>
        <v>0</v>
      </c>
      <c r="AD34" s="581" t="e">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4" s="581">
        <f>IF(34=34,IF($U34="","",SUMPRODUCT(--ISNUMBER(SEARCH(" "&amp;$CR$184:$CR$205&amp;" ",$AD34)))),"")</f>
        <v>0</v>
      </c>
      <c r="AF34" s="581" t="str">
        <f>IF(34=34,IF($U34="","",IF(SUM(AB34:AC34)+SUMPRODUCT(--ISNUMBER(SEARCH(" "&amp;$CR$2418:$CR$2420&amp;" ",$AD34)))&gt;0,"X",IF(AE34&gt;0,"?",""))),"")</f>
        <v/>
      </c>
      <c r="AG34" s="581">
        <f>IF(34=34,IF($U34="","",SUMPRODUCT(--ISNUMBER(SEARCH(" "&amp;$CR$206:$CR$305&amp;" ",$AA34)))),"")</f>
        <v>0</v>
      </c>
      <c r="AH34" s="581">
        <f>IF(34=34,IF($U34="","",SUMPRODUCT(--ISNUMBER(SEARCH(" "&amp;$CR$306:$CR$340&amp;" ",$AA34)))),"")</f>
        <v>0</v>
      </c>
      <c r="AI34" s="581" t="str">
        <f>IF(34=34,IF($U34="","",IF((SUM(AG34:AH34))-(0)&gt;0,"X",IF((0)-(0)&gt;0,"?",""))),"")</f>
        <v/>
      </c>
      <c r="AJ34" s="581">
        <f>IF(34=34,IF($U34="","",SUMPRODUCT(--ISNUMBER(SEARCH(" "&amp;$CR$341:$CR$398&amp;" ",$AA34)))),"")</f>
        <v>0</v>
      </c>
      <c r="AK34" s="581">
        <f>IF(34=34,IF($U34="","",SUMPRODUCT(--ISNUMBER(SEARCH(" "&amp;$CR$399:$CR$426&amp;" ",$AL34)))+SUMPRODUCT(--ISNUMBER(SEARCH(" "&amp;$CR$2440:$CR$2453&amp;" ",$AL34)))),"")</f>
        <v>0</v>
      </c>
      <c r="AL34" s="581" t="str">
        <f>IF(34=34,IF($U34="","",SUBSTITUTE(SUBSTITUTE(SUBSTITUTE(SUBSTITUTE(SUBSTITUTE(SUBSTITUTE(SUBSTITUTE(SUBSTITUTE(SUBSTITUTE(SUBSTITUTE(SUBSTITUTE(SUBSTITUTE(SUBSTITUTE($AA34," "&amp;$CR$433&amp;" "," ")," "&amp;$CR$431&amp;" "," ")," "&amp;$CR$2438&amp;" "," ")," "&amp;$CR$2439&amp;" "," ")," "&amp;$CR$428&amp;" "," ")," "&amp;$CR$432&amp;" "," ")," "&amp;$CR$434&amp;" "," ")," "&amp;$CR$429&amp;" "," ")," "&amp;$CR$427&amp;" "," ")," "&amp;$CR$1367&amp;" "," ")," "&amp;$CR$435&amp;" "," ")," "&amp;$CR$1366&amp;" "," ")," "&amp;$CR$430&amp;" "," ")),"")</f>
        <v xml:space="preserve"> emmenthal rape </v>
      </c>
      <c r="AM34" s="581" t="str">
        <f>IF(34=34,IF($U34="","",IF(AJ34&gt;0,"X",IF(AK34&gt;0,"?",""))),"")</f>
        <v/>
      </c>
      <c r="AN34" s="581">
        <f>IF(34=34,IF($U34="","",SUMPRODUCT(--ISNUMBER(SEARCH(" "&amp;$CR$436:$CR$535&amp;" ",$AX34)))),"")</f>
        <v>0</v>
      </c>
      <c r="AO34" s="581">
        <f>IF(34=34,IF($U34="","",SUMPRODUCT(--ISNUMBER(SEARCH(" "&amp;$CR$536:$CR$635&amp;" ",$AX34)))),"")</f>
        <v>0</v>
      </c>
      <c r="AP34" s="581">
        <f>IF(34=34,IF($U34="","",SUMPRODUCT(--ISNUMBER(SEARCH(" "&amp;$CR$636:$CR$735&amp;" ",$AX34)))),"")</f>
        <v>0</v>
      </c>
      <c r="AQ34" s="581">
        <f>IF(34=34,IF($U34="","",SUMPRODUCT(--ISNUMBER(SEARCH(" "&amp;$CR$736:$CR$835&amp;" ",$AX34)))),"")</f>
        <v>0</v>
      </c>
      <c r="AR34" s="581">
        <f>IF(34=34,IF($U34="","",SUMPRODUCT(--ISNUMBER(SEARCH(" "&amp;$CR$836:$CR$935&amp;" ",$AX34)))),"")</f>
        <v>0</v>
      </c>
      <c r="AS34" s="581">
        <f>IF(34=34,IF($U34="","",SUMPRODUCT(--ISNUMBER(SEARCH(" "&amp;$CR$936:$CR$1035&amp;" ",$AX34)))),"")</f>
        <v>0</v>
      </c>
      <c r="AT34" s="581">
        <f>IF(34=34,IF($U34="","",SUMPRODUCT(--ISNUMBER(SEARCH(" "&amp;$CR$1036:$CR$1135&amp;" ",$AX34)))),"")</f>
        <v>0</v>
      </c>
      <c r="AU34" s="581">
        <f>IF(34=34,IF($U34="","",SUMPRODUCT(--ISNUMBER(SEARCH(" "&amp;$CR$1136:$CR$1235&amp;" ",$AX34)))),"")</f>
        <v>0</v>
      </c>
      <c r="AV34" s="581">
        <f>IF(34=34,IF($U34="","",SUMPRODUCT(--ISNUMBER(SEARCH(" "&amp;$CR$1236:$CR$1335&amp;" ",$AX34)))),"")</f>
        <v>0</v>
      </c>
      <c r="AW34" s="581">
        <f>IF(34=34,IF($U34="","",SUMPRODUCT(--ISNUMBER(SEARCH(" "&amp;$CR$1336:$CR$1363&amp;" ",$AX34)))),"")</f>
        <v>0</v>
      </c>
      <c r="AX34" s="581" t="str">
        <f>IF(34=34,IF($U34="","",SUBSTITUTE(SUBSTITUTE(SUBSTITUTE(SUBSTITUTE(SUBSTITUTE(SUBSTITUTE(SUBSTITUTE(SUBSTITUTE(SUBSTITUTE($AA34," "&amp;$CR$1365&amp;" "," ")," "&amp;$CR$1364&amp;" "," ")," "&amp;$CR$1370&amp;" "," ")," "&amp;$CR$1371&amp;" "," ")," "&amp;$CR$1367&amp;" "," ")," "&amp;$CR$1369&amp;" "," ")," "&amp;$CR$1366&amp;" "," ")," "&amp;$CR$1368&amp;" "," ")," "&amp;$CR$1372&amp;" "," ")),"")</f>
        <v xml:space="preserve"> emmenthal rape </v>
      </c>
      <c r="AY34" s="581">
        <f>IF(34=34,IF($U34="","",SUMPRODUCT(--ISNUMBER(SEARCH(" "&amp;$CR$1373:$CR$1383&amp;" ",$AX34)))),"")</f>
        <v>0</v>
      </c>
      <c r="AZ34" s="581" t="str">
        <f>IF(34=34,IF($U34="","",IF(SUM(AN34:AW34)+SUMPRODUCT(--ISNUMBER(SEARCH(" "&amp;$CR$2421:$CR$2422&amp;" ",$AX34)))&gt;0,"X",IF(AY34&gt;0,"?",""))),"")</f>
        <v/>
      </c>
      <c r="BA34" s="581">
        <f>IF(34=34,IF($U34="","",SUMPRODUCT(--ISNUMBER(SEARCH(" "&amp;$CR$1384:$CR$1404&amp;" ",$AA34)))),"")</f>
        <v>0</v>
      </c>
      <c r="BB34" s="581" t="str">
        <f>IF(34=34,IF($U34="","",IF((BA34)-(0)&gt;0,"X",IF((0)-(0)&gt;0,"?",""))),"")</f>
        <v/>
      </c>
      <c r="BC34" s="581">
        <f>IF(34=34,IF($U34="","",SUMPRODUCT(--ISNUMBER(SEARCH(" "&amp;$CR$1405:$CR$1442&amp;" ",$BD34)))),"")</f>
        <v>0</v>
      </c>
      <c r="BD34" s="581" t="str">
        <f>IF(34=34,IF($U34="","",SUBSTITUTE(SUBSTITUTE($AA34," "&amp;$CR$1443&amp;" "," ")," "&amp;$CR$1444&amp;" "," ")),"")</f>
        <v xml:space="preserve"> emmenthal rape </v>
      </c>
      <c r="BE34" s="581">
        <f>IF(34=34,IF($U34="","",SUMPRODUCT(--ISNUMBER(SEARCH(" "&amp;$CR$1445:$CR$1455&amp;" ",$BD34)))),"")</f>
        <v>0</v>
      </c>
      <c r="BF34" s="581" t="str">
        <f>IF(34=34,IF($U34="","",IF(BC34&gt;0,"X",IF(BE34&gt;0,"?",""))),"")</f>
        <v/>
      </c>
      <c r="BG34" s="581">
        <f>IF(34=34,IF($U34="","",SUMPRODUCT(--ISNUMBER(SEARCH(" "&amp;$CR$1456:$CR$1555&amp;" ",$BJ34)))),"")</f>
        <v>0</v>
      </c>
      <c r="BH34" s="581">
        <f>IF(34=34,IF($U34="","",SUMPRODUCT(--ISNUMBER(SEARCH(" "&amp;$CR$1556:$CR$1655&amp;" ",$BJ34)))),"")</f>
        <v>2</v>
      </c>
      <c r="BI34" s="581">
        <f>IF(34=34,IF($U34="","",SUMPRODUCT(--ISNUMBER(SEARCH(" "&amp;$CR$1656:$CR$1739&amp;" ",$BJ34)))),"")</f>
        <v>0</v>
      </c>
      <c r="BJ34" s="581"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emmenthal rape </v>
      </c>
      <c r="BK34" s="581">
        <f>IF(34=34,IF($U34="","",SUMPRODUCT(--ISNUMBER(SEARCH(" "&amp;$CR$1790:$CR$1869&amp;" ",$BL34)))+SUMPRODUCT(--ISNUMBER(SEARCH(" "&amp;$CR$2440:$CR$2453&amp;" ",$BL34)))),"")</f>
        <v>0</v>
      </c>
      <c r="BL34" s="581"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emmenthal rape </v>
      </c>
      <c r="BM34" s="581" t="str">
        <f>IF(34=34,IF($U34="","",IF(SUM(BG34:BI34)+SUMPRODUCT(--ISNUMBER(SEARCH(" "&amp;$CR$2423:$CR$2424&amp;" ",$BJ34)))&gt;0,"X",IF(BK34&gt;0,"?",""))),"")</f>
        <v>X</v>
      </c>
      <c r="BN34" s="581">
        <f>IF(34=34,IF($U34="","",SUMPRODUCT(--ISNUMBER(SEARCH(" "&amp;$CR$1879:$CR$1936&amp;" ",$BO34)))),"")</f>
        <v>0</v>
      </c>
      <c r="BO34" s="581"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emmenthal rape </v>
      </c>
      <c r="BP34" s="581">
        <f>IF(34=34,IF($U34="","",SUMPRODUCT(--ISNUMBER(SEARCH(" "&amp;$CR$1960:$CR$1976&amp;" ",$BO34)))),"")</f>
        <v>0</v>
      </c>
      <c r="BQ34" s="581" t="str">
        <f>IF(34=34,IF($U34="","",IF(BN34&gt;0,"X",IF(BP34&gt;0,"?",""))),"")</f>
        <v/>
      </c>
      <c r="BR34" s="581">
        <f>IF(34=34,IF($U34="","",SUMPRODUCT(--ISNUMBER(SEARCH(" "&amp;$CR$1977:$CR$1990&amp;" ",$AA34)))),"")</f>
        <v>0</v>
      </c>
      <c r="BS34" s="581">
        <f>IF(34=34,IF($U34="","",SUMPRODUCT(--ISNUMBER(SEARCH(" "&amp;$CR$1991:$CR$2005&amp;" ",$AA34)))),"")</f>
        <v>0</v>
      </c>
      <c r="BT34" s="581" t="str">
        <f>IF(34=34,IF($U34="","",IF((BR34)-(0)&gt;0,"X",IF((BS34)-(0)&gt;0,"?",""))),"")</f>
        <v/>
      </c>
      <c r="BU34" s="581">
        <f>IF(34=34,IF($U34="","",SUMPRODUCT(--ISNUMBER(SEARCH(" "&amp;$CR$2006:$CR$2023&amp;" ",$AA34)))),"")</f>
        <v>0</v>
      </c>
      <c r="BV34" s="581">
        <f>IF(34=34,IF($U34="","",SUMPRODUCT(--ISNUMBER(SEARCH(" "&amp;$CR$2024:$CR$2038&amp;" ",$AA34)))),"")</f>
        <v>0</v>
      </c>
      <c r="BW34" s="581" t="str">
        <f>IF(34=34,IF($U34="","",IF((BU34)-(0)&gt;0,"X",IF((BV34)-(0)&gt;0,"?",""))),"")</f>
        <v/>
      </c>
      <c r="BX34" s="581">
        <f>IF(34=34,IF($U34="","",SUMPRODUCT(--ISNUMBER(SEARCH(" "&amp;$CR$2039:$CR$2057&amp;" ",$AA34)))),"")</f>
        <v>0</v>
      </c>
      <c r="BY34" s="581">
        <f>IF(34=34,IF($U34="","",SUMPRODUCT(--ISNUMBER(SEARCH(" "&amp;$CR$2058:$CR$2072&amp;" ",$AA34)))),"")</f>
        <v>0</v>
      </c>
      <c r="BZ34" s="581" t="str">
        <f>IF(34=34,IF($U34="","",IF((BX34)-(0)&gt;0,"X",IF((BY34)-(0)&gt;0,"?",""))),"")</f>
        <v/>
      </c>
      <c r="CA34" s="581">
        <f>IF(34=34,IF($U34="","",SUMPRODUCT(--ISNUMBER(SEARCH(" "&amp;$CR$2073:$CR$2093&amp;" ",$AA34)))),"")</f>
        <v>0</v>
      </c>
      <c r="CB34" s="581">
        <f>IF(34=34,IF($U34="","",SUMPRODUCT(--ISNUMBER(SEARCH(" "&amp;$CR$2094:$CR$2133&amp;" ",SUBSTITUTE(SUBSTITUTE($AA34," "&amp;$CR$1367&amp;" "," ")," "&amp;$CR$1366&amp;" "," "))))+--ISNUMBER(SEARCH("poiré",$V34))),"")</f>
        <v>0</v>
      </c>
      <c r="CC34" s="581" t="str">
        <f>IF(34=34,IF($U34="","",IF(OR(CA34&gt;0,ISNUMBER(SEARCH(" vinaigre de vin ",$AA34)),ISNUMBER(SEARCH(" vinaigre au vin ",$AA34))),"X",IF(CB34&gt;0,"?",""))),"")</f>
        <v/>
      </c>
      <c r="CD34" s="581">
        <f>IF(34=34,IF($U34="","",SUMPRODUCT(--ISNUMBER(SEARCH(" "&amp;$CR$2134:$CR$2146&amp;" ",$AA34)))),"")</f>
        <v>0</v>
      </c>
      <c r="CE34" s="581">
        <f>IF(34=34,IF($U34="","",SUMPRODUCT(--ISNUMBER(SEARCH(" "&amp;$CR$2147:$CR$2152&amp;" ",$AA34)))),"")</f>
        <v>0</v>
      </c>
      <c r="CF34" s="581" t="str">
        <f>IF(34=34,IF($U34="","",IF((CD34)-(0)&gt;0,"X",IF((CE34)-(0)&gt;0,"?",""))),"")</f>
        <v/>
      </c>
      <c r="CG34" s="581">
        <f>IF(34=34,IF($U34="","",SUMPRODUCT(--ISNUMBER(SEARCH(" "&amp;$CR$2153:$CR$2252&amp;" ",$CJ34)))),"")</f>
        <v>0</v>
      </c>
      <c r="CH34" s="581">
        <f>IF(34=34,IF($U34="","",SUMPRODUCT(--ISNUMBER(SEARCH(" "&amp;$CR$2253:$CR$2352&amp;" ",$CJ34)))),"")</f>
        <v>0</v>
      </c>
      <c r="CI34" s="581">
        <f>IF(34=34,IF($U34="","",SUMPRODUCT(--ISNUMBER(SEARCH(" "&amp;$CR$2353:$CR$2395&amp;" ",$CJ34)))),"")</f>
        <v>0</v>
      </c>
      <c r="CJ34" s="581"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emmenthal rape </v>
      </c>
      <c r="CK34" s="581">
        <f>IF(34=34,IF($U34="","",SUMPRODUCT(--ISNUMBER(SEARCH(" "&amp;$CR$2412:$CR$2416&amp;" ",$CJ34)))),"")</f>
        <v>0</v>
      </c>
      <c r="CL34" s="581" t="str">
        <f>IF(34=34,IF($U34="","",IF(SUM(CG34:CI34)&gt;0,"X",IF(CK34&gt;0,"?",""))),"")</f>
        <v/>
      </c>
      <c r="CM34" s="582"/>
      <c r="CN34" s="584" t="s">
        <v>2068</v>
      </c>
      <c r="CO34" s="584" t="s">
        <v>1887</v>
      </c>
      <c r="CP34" s="584" t="s">
        <v>1888</v>
      </c>
      <c r="CQ34" s="584" t="s">
        <v>2069</v>
      </c>
      <c r="CR34" s="584" t="s">
        <v>2070</v>
      </c>
      <c r="CS34" s="584" t="s">
        <v>1890</v>
      </c>
      <c r="CT34" s="584" t="s">
        <v>1891</v>
      </c>
      <c r="CU34" s="584" t="s">
        <v>1892</v>
      </c>
      <c r="CV34" s="585" t="s">
        <v>1893</v>
      </c>
    </row>
    <row r="35" spans="1:100" ht="21.95" customHeight="1" x14ac:dyDescent="0.25">
      <c r="A35" s="597">
        <v>29</v>
      </c>
      <c r="B35" s="598" t="s">
        <v>2071</v>
      </c>
      <c r="C35" s="599" t="str">
        <f t="shared" si="0"/>
        <v>Parmesan. *</v>
      </c>
      <c r="D35" s="600"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Lait</v>
      </c>
      <c r="E35" s="601" t="str">
        <f>IF(35=35,IF($B35="","",AF35),"")</f>
        <v/>
      </c>
      <c r="F35" s="601" t="str">
        <f>IF(35=35,IF($B35="","",AI35),"")</f>
        <v/>
      </c>
      <c r="G35" s="601" t="str">
        <f>IF(35=35,IF($B35="","",AM35),"")</f>
        <v/>
      </c>
      <c r="H35" s="601" t="str">
        <f>IF(35=35,IF($B35="","",AZ35),"")</f>
        <v/>
      </c>
      <c r="I35" s="601" t="str">
        <f>IF(35=35,IF($B35="","",BB35),"")</f>
        <v/>
      </c>
      <c r="J35" s="601" t="str">
        <f>IF(35=35,IF($B35="","",BF35),"")</f>
        <v/>
      </c>
      <c r="K35" s="601" t="str">
        <f>IF(35=35,IF($B35="","",BM35),"")</f>
        <v>X</v>
      </c>
      <c r="L35" s="601" t="str">
        <f>IF(35=35,IF($B35="","",BQ35),"")</f>
        <v/>
      </c>
      <c r="M35" s="601" t="str">
        <f>IF(35=35,IF($B35="","",BT35),"")</f>
        <v/>
      </c>
      <c r="N35" s="601" t="str">
        <f>IF(35=35,IF($B35="","",BW35),"")</f>
        <v/>
      </c>
      <c r="O35" s="601" t="str">
        <f>IF(35=35,IF($B35="","",BZ35),"")</f>
        <v/>
      </c>
      <c r="P35" s="601" t="str">
        <f>IF(35=35,IF($B35="","",CC35),"")</f>
        <v/>
      </c>
      <c r="Q35" s="601" t="str">
        <f>IF(35=35,IF($B35="","",CF35),"")</f>
        <v/>
      </c>
      <c r="R35" s="601" t="str">
        <f>IF(35=35,IF($B35="","",CL35),"")</f>
        <v/>
      </c>
      <c r="S35" s="602"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581" t="str">
        <f>IF(35=35,IF($B35="","",$B35),"")</f>
        <v>Parmesan.</v>
      </c>
      <c r="V35" s="581" t="str">
        <f>IF(35=35,LOWER(CLEAN(SUBSTITUTE(SUBSTITUTE(SUBSTITUTE(SUBSTITUTE($U35,CHAR(160)," ")," "," "),CHAR(10)," "),CHAR(13)," "))),"")</f>
        <v>parmesan.</v>
      </c>
      <c r="W35" s="581" t="str">
        <f>IF(35=35,SUBSTITUTE(SUBSTITUTE(SUBSTITUTE(SUBSTITUTE(SUBSTITUTE(SUBSTITUTE(SUBSTITUTE(SUBSTITUTE(SUBSTITUTE(SUBSTITUTE(SUBSTITUTE(SUBSTITUTE($V35,"œ","oe"),"æ","ae"),"à","a"),"á","a"),"â","a"),"ä","a"),"ã","a"),"ç","c"),"è","e"),"é","e"),"ê","e"),"ë","e"),"")</f>
        <v>parmesan.</v>
      </c>
      <c r="X35" s="581" t="str">
        <f>IF(35=35,SUBSTITUTE(SUBSTITUTE(SUBSTITUTE(SUBSTITUTE(SUBSTITUTE(SUBSTITUTE(SUBSTITUTE(SUBSTITUTE(SUBSTITUTE(SUBSTITUTE(SUBSTITUTE(SUBSTITUTE(SUBSTITUTE(SUBSTITUTE(SUBSTITUTE(SUBSTITUTE($W35,"ì","i"),"í","i"),"î","i"),"ï","i"),"ñ","n"),"ò","o"),"ó","o"),"ô","o"),"ö","o"),"õ","o"),"ù","u"),"ú","u"),"û","u"),"ü","u"),"ý","y"),"ÿ","y"),"")</f>
        <v>parmesan.</v>
      </c>
      <c r="Y35" s="581" t="str">
        <f>IF(35=35,SUBSTITUTE(SUBSTITUTE(SUBSTITUTE(SUBSTITUTE(SUBSTITUTE(SUBSTITUTE(SUBSTITUTE(SUBSTITUTE(SUBSTITUTE(SUBSTITUTE(SUBSTITUTE(SUBSTITUTE(SUBSTITUTE(SUBSTITUTE($X35,"’"," "),"`"," "),"–"," "),"—"," "),"-"," "),"'"," "),"/"," "),"_"," "),","," "),"."," "),"("," "),")"," "),";"," "),":"," "),"")</f>
        <v xml:space="preserve">parmesan </v>
      </c>
      <c r="Z35" s="581" t="str">
        <f>IF(35=35,SUBSTITUTE(SUBSTITUTE(SUBSTITUTE(SUBSTITUTE(SUBSTITUTE(SUBSTITUTE(SUBSTITUTE(SUBSTITUTE(SUBSTITUTE(SUBSTITUTE(SUBSTITUTE(SUBSTITUTE(SUBSTITUTE(SUBSTITUTE(SUBSTITUTE($Y35,"!"," "),"?"," "),"+"," "),"*"," "),"&amp;"," "),"["," "),"]"," "),"{"," "),"}"," "),"%"," "),"="," "),"\"," "),"|"," "),"&lt;"," "),"&gt;"," "),"")</f>
        <v xml:space="preserve">parmesan </v>
      </c>
      <c r="AA35" s="581" t="str">
        <f>IF(35=35," "&amp;TRIM(SUBSTITUTE(SUBSTITUTE(SUBSTITUTE(SUBSTITUTE(SUBSTITUTE(SUBSTITUTE($Z35,CHAR(34)," "),"  "," "),"  "," "),"  "," "),"  "," "),"  "," "))&amp;" ","")</f>
        <v xml:space="preserve"> parmesan </v>
      </c>
      <c r="AB35" s="581">
        <f>IF(35=35,IF($U35="","",SUMPRODUCT(--ISNUMBER(SEARCH(" "&amp;$CR$2:$CR$101&amp;" ",$AD35)))),"")</f>
        <v>0</v>
      </c>
      <c r="AC35" s="581">
        <f>IF(35=35,IF($U35="","",SUMPRODUCT(--ISNUMBER(SEARCH(" "&amp;$CR$102:$CR$151&amp;" ",$AD35)))),"")</f>
        <v>0</v>
      </c>
      <c r="AD35" s="581" t="e">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5" s="581">
        <f>IF(35=35,IF($U35="","",SUMPRODUCT(--ISNUMBER(SEARCH(" "&amp;$CR$184:$CR$205&amp;" ",$AD35)))),"")</f>
        <v>0</v>
      </c>
      <c r="AF35" s="581" t="str">
        <f>IF(35=35,IF($U35="","",IF(SUM(AB35:AC35)+SUMPRODUCT(--ISNUMBER(SEARCH(" "&amp;$CR$2418:$CR$2420&amp;" ",$AD35)))&gt;0,"X",IF(AE35&gt;0,"?",""))),"")</f>
        <v/>
      </c>
      <c r="AG35" s="581">
        <f>IF(35=35,IF($U35="","",SUMPRODUCT(--ISNUMBER(SEARCH(" "&amp;$CR$206:$CR$305&amp;" ",$AA35)))),"")</f>
        <v>0</v>
      </c>
      <c r="AH35" s="581">
        <f>IF(35=35,IF($U35="","",SUMPRODUCT(--ISNUMBER(SEARCH(" "&amp;$CR$306:$CR$340&amp;" ",$AA35)))),"")</f>
        <v>0</v>
      </c>
      <c r="AI35" s="581" t="str">
        <f>IF(35=35,IF($U35="","",IF((SUM(AG35:AH35))-(0)&gt;0,"X",IF((0)-(0)&gt;0,"?",""))),"")</f>
        <v/>
      </c>
      <c r="AJ35" s="581">
        <f>IF(35=35,IF($U35="","",SUMPRODUCT(--ISNUMBER(SEARCH(" "&amp;$CR$341:$CR$398&amp;" ",$AA35)))),"")</f>
        <v>0</v>
      </c>
      <c r="AK35" s="581">
        <f>IF(35=35,IF($U35="","",SUMPRODUCT(--ISNUMBER(SEARCH(" "&amp;$CR$399:$CR$426&amp;" ",$AL35)))+SUMPRODUCT(--ISNUMBER(SEARCH(" "&amp;$CR$2440:$CR$2453&amp;" ",$AL35)))),"")</f>
        <v>0</v>
      </c>
      <c r="AL35" s="581" t="str">
        <f>IF(35=35,IF($U35="","",SUBSTITUTE(SUBSTITUTE(SUBSTITUTE(SUBSTITUTE(SUBSTITUTE(SUBSTITUTE(SUBSTITUTE(SUBSTITUTE(SUBSTITUTE(SUBSTITUTE(SUBSTITUTE(SUBSTITUTE(SUBSTITUTE($AA35," "&amp;$CR$433&amp;" "," ")," "&amp;$CR$431&amp;" "," ")," "&amp;$CR$2438&amp;" "," ")," "&amp;$CR$2439&amp;" "," ")," "&amp;$CR$428&amp;" "," ")," "&amp;$CR$432&amp;" "," ")," "&amp;$CR$434&amp;" "," ")," "&amp;$CR$429&amp;" "," ")," "&amp;$CR$427&amp;" "," ")," "&amp;$CR$1367&amp;" "," ")," "&amp;$CR$435&amp;" "," ")," "&amp;$CR$1366&amp;" "," ")," "&amp;$CR$430&amp;" "," ")),"")</f>
        <v xml:space="preserve"> parmesan </v>
      </c>
      <c r="AM35" s="581" t="str">
        <f>IF(35=35,IF($U35="","",IF(AJ35&gt;0,"X",IF(AK35&gt;0,"?",""))),"")</f>
        <v/>
      </c>
      <c r="AN35" s="581">
        <f>IF(35=35,IF($U35="","",SUMPRODUCT(--ISNUMBER(SEARCH(" "&amp;$CR$436:$CR$535&amp;" ",$AX35)))),"")</f>
        <v>0</v>
      </c>
      <c r="AO35" s="581">
        <f>IF(35=35,IF($U35="","",SUMPRODUCT(--ISNUMBER(SEARCH(" "&amp;$CR$536:$CR$635&amp;" ",$AX35)))),"")</f>
        <v>0</v>
      </c>
      <c r="AP35" s="581">
        <f>IF(35=35,IF($U35="","",SUMPRODUCT(--ISNUMBER(SEARCH(" "&amp;$CR$636:$CR$735&amp;" ",$AX35)))),"")</f>
        <v>0</v>
      </c>
      <c r="AQ35" s="581">
        <f>IF(35=35,IF($U35="","",SUMPRODUCT(--ISNUMBER(SEARCH(" "&amp;$CR$736:$CR$835&amp;" ",$AX35)))),"")</f>
        <v>0</v>
      </c>
      <c r="AR35" s="581">
        <f>IF(35=35,IF($U35="","",SUMPRODUCT(--ISNUMBER(SEARCH(" "&amp;$CR$836:$CR$935&amp;" ",$AX35)))),"")</f>
        <v>0</v>
      </c>
      <c r="AS35" s="581">
        <f>IF(35=35,IF($U35="","",SUMPRODUCT(--ISNUMBER(SEARCH(" "&amp;$CR$936:$CR$1035&amp;" ",$AX35)))),"")</f>
        <v>0</v>
      </c>
      <c r="AT35" s="581">
        <f>IF(35=35,IF($U35="","",SUMPRODUCT(--ISNUMBER(SEARCH(" "&amp;$CR$1036:$CR$1135&amp;" ",$AX35)))),"")</f>
        <v>0</v>
      </c>
      <c r="AU35" s="581">
        <f>IF(35=35,IF($U35="","",SUMPRODUCT(--ISNUMBER(SEARCH(" "&amp;$CR$1136:$CR$1235&amp;" ",$AX35)))),"")</f>
        <v>0</v>
      </c>
      <c r="AV35" s="581">
        <f>IF(35=35,IF($U35="","",SUMPRODUCT(--ISNUMBER(SEARCH(" "&amp;$CR$1236:$CR$1335&amp;" ",$AX35)))),"")</f>
        <v>0</v>
      </c>
      <c r="AW35" s="581">
        <f>IF(35=35,IF($U35="","",SUMPRODUCT(--ISNUMBER(SEARCH(" "&amp;$CR$1336:$CR$1363&amp;" ",$AX35)))),"")</f>
        <v>0</v>
      </c>
      <c r="AX35" s="581" t="str">
        <f>IF(35=35,IF($U35="","",SUBSTITUTE(SUBSTITUTE(SUBSTITUTE(SUBSTITUTE(SUBSTITUTE(SUBSTITUTE(SUBSTITUTE(SUBSTITUTE(SUBSTITUTE($AA35," "&amp;$CR$1365&amp;" "," ")," "&amp;$CR$1364&amp;" "," ")," "&amp;$CR$1370&amp;" "," ")," "&amp;$CR$1371&amp;" "," ")," "&amp;$CR$1367&amp;" "," ")," "&amp;$CR$1369&amp;" "," ")," "&amp;$CR$1366&amp;" "," ")," "&amp;$CR$1368&amp;" "," ")," "&amp;$CR$1372&amp;" "," ")),"")</f>
        <v xml:space="preserve"> parmesan </v>
      </c>
      <c r="AY35" s="581">
        <f>IF(35=35,IF($U35="","",SUMPRODUCT(--ISNUMBER(SEARCH(" "&amp;$CR$1373:$CR$1383&amp;" ",$AX35)))),"")</f>
        <v>0</v>
      </c>
      <c r="AZ35" s="581" t="str">
        <f>IF(35=35,IF($U35="","",IF(SUM(AN35:AW35)+SUMPRODUCT(--ISNUMBER(SEARCH(" "&amp;$CR$2421:$CR$2422&amp;" ",$AX35)))&gt;0,"X",IF(AY35&gt;0,"?",""))),"")</f>
        <v/>
      </c>
      <c r="BA35" s="581">
        <f>IF(35=35,IF($U35="","",SUMPRODUCT(--ISNUMBER(SEARCH(" "&amp;$CR$1384:$CR$1404&amp;" ",$AA35)))),"")</f>
        <v>0</v>
      </c>
      <c r="BB35" s="581" t="str">
        <f>IF(35=35,IF($U35="","",IF((BA35)-(0)&gt;0,"X",IF((0)-(0)&gt;0,"?",""))),"")</f>
        <v/>
      </c>
      <c r="BC35" s="581">
        <f>IF(35=35,IF($U35="","",SUMPRODUCT(--ISNUMBER(SEARCH(" "&amp;$CR$1405:$CR$1442&amp;" ",$BD35)))),"")</f>
        <v>0</v>
      </c>
      <c r="BD35" s="581" t="str">
        <f>IF(35=35,IF($U35="","",SUBSTITUTE(SUBSTITUTE($AA35," "&amp;$CR$1443&amp;" "," ")," "&amp;$CR$1444&amp;" "," ")),"")</f>
        <v xml:space="preserve"> parmesan </v>
      </c>
      <c r="BE35" s="581">
        <f>IF(35=35,IF($U35="","",SUMPRODUCT(--ISNUMBER(SEARCH(" "&amp;$CR$1445:$CR$1455&amp;" ",$BD35)))),"")</f>
        <v>0</v>
      </c>
      <c r="BF35" s="581" t="str">
        <f>IF(35=35,IF($U35="","",IF(BC35&gt;0,"X",IF(BE35&gt;0,"?",""))),"")</f>
        <v/>
      </c>
      <c r="BG35" s="581">
        <f>IF(35=35,IF($U35="","",SUMPRODUCT(--ISNUMBER(SEARCH(" "&amp;$CR$1456:$CR$1555&amp;" ",$BJ35)))),"")</f>
        <v>0</v>
      </c>
      <c r="BH35" s="581">
        <f>IF(35=35,IF($U35="","",SUMPRODUCT(--ISNUMBER(SEARCH(" "&amp;$CR$1556:$CR$1655&amp;" ",$BJ35)))),"")</f>
        <v>1</v>
      </c>
      <c r="BI35" s="581">
        <f>IF(35=35,IF($U35="","",SUMPRODUCT(--ISNUMBER(SEARCH(" "&amp;$CR$1656:$CR$1739&amp;" ",$BJ35)))),"")</f>
        <v>0</v>
      </c>
      <c r="BJ35" s="581"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parmesan </v>
      </c>
      <c r="BK35" s="581">
        <f>IF(35=35,IF($U35="","",SUMPRODUCT(--ISNUMBER(SEARCH(" "&amp;$CR$1790:$CR$1869&amp;" ",$BL35)))+SUMPRODUCT(--ISNUMBER(SEARCH(" "&amp;$CR$2440:$CR$2453&amp;" ",$BL35)))),"")</f>
        <v>0</v>
      </c>
      <c r="BL35" s="581"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parmesan </v>
      </c>
      <c r="BM35" s="581" t="str">
        <f>IF(35=35,IF($U35="","",IF(SUM(BG35:BI35)+SUMPRODUCT(--ISNUMBER(SEARCH(" "&amp;$CR$2423:$CR$2424&amp;" ",$BJ35)))&gt;0,"X",IF(BK35&gt;0,"?",""))),"")</f>
        <v>X</v>
      </c>
      <c r="BN35" s="581">
        <f>IF(35=35,IF($U35="","",SUMPRODUCT(--ISNUMBER(SEARCH(" "&amp;$CR$1879:$CR$1936&amp;" ",$BO35)))),"")</f>
        <v>0</v>
      </c>
      <c r="BO35" s="581"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parmesan </v>
      </c>
      <c r="BP35" s="581">
        <f>IF(35=35,IF($U35="","",SUMPRODUCT(--ISNUMBER(SEARCH(" "&amp;$CR$1960:$CR$1976&amp;" ",$BO35)))),"")</f>
        <v>0</v>
      </c>
      <c r="BQ35" s="581" t="str">
        <f>IF(35=35,IF($U35="","",IF(BN35&gt;0,"X",IF(BP35&gt;0,"?",""))),"")</f>
        <v/>
      </c>
      <c r="BR35" s="581">
        <f>IF(35=35,IF($U35="","",SUMPRODUCT(--ISNUMBER(SEARCH(" "&amp;$CR$1977:$CR$1990&amp;" ",$AA35)))),"")</f>
        <v>0</v>
      </c>
      <c r="BS35" s="581">
        <f>IF(35=35,IF($U35="","",SUMPRODUCT(--ISNUMBER(SEARCH(" "&amp;$CR$1991:$CR$2005&amp;" ",$AA35)))),"")</f>
        <v>0</v>
      </c>
      <c r="BT35" s="581" t="str">
        <f>IF(35=35,IF($U35="","",IF((BR35)-(0)&gt;0,"X",IF((BS35)-(0)&gt;0,"?",""))),"")</f>
        <v/>
      </c>
      <c r="BU35" s="581">
        <f>IF(35=35,IF($U35="","",SUMPRODUCT(--ISNUMBER(SEARCH(" "&amp;$CR$2006:$CR$2023&amp;" ",$AA35)))),"")</f>
        <v>0</v>
      </c>
      <c r="BV35" s="581">
        <f>IF(35=35,IF($U35="","",SUMPRODUCT(--ISNUMBER(SEARCH(" "&amp;$CR$2024:$CR$2038&amp;" ",$AA35)))),"")</f>
        <v>0</v>
      </c>
      <c r="BW35" s="581" t="str">
        <f>IF(35=35,IF($U35="","",IF((BU35)-(0)&gt;0,"X",IF((BV35)-(0)&gt;0,"?",""))),"")</f>
        <v/>
      </c>
      <c r="BX35" s="581">
        <f>IF(35=35,IF($U35="","",SUMPRODUCT(--ISNUMBER(SEARCH(" "&amp;$CR$2039:$CR$2057&amp;" ",$AA35)))),"")</f>
        <v>0</v>
      </c>
      <c r="BY35" s="581">
        <f>IF(35=35,IF($U35="","",SUMPRODUCT(--ISNUMBER(SEARCH(" "&amp;$CR$2058:$CR$2072&amp;" ",$AA35)))),"")</f>
        <v>0</v>
      </c>
      <c r="BZ35" s="581" t="str">
        <f>IF(35=35,IF($U35="","",IF((BX35)-(0)&gt;0,"X",IF((BY35)-(0)&gt;0,"?",""))),"")</f>
        <v/>
      </c>
      <c r="CA35" s="581">
        <f>IF(35=35,IF($U35="","",SUMPRODUCT(--ISNUMBER(SEARCH(" "&amp;$CR$2073:$CR$2093&amp;" ",$AA35)))),"")</f>
        <v>0</v>
      </c>
      <c r="CB35" s="581">
        <f>IF(35=35,IF($U35="","",SUMPRODUCT(--ISNUMBER(SEARCH(" "&amp;$CR$2094:$CR$2133&amp;" ",SUBSTITUTE(SUBSTITUTE($AA35," "&amp;$CR$1367&amp;" "," ")," "&amp;$CR$1366&amp;" "," "))))+--ISNUMBER(SEARCH("poiré",$V35))),"")</f>
        <v>0</v>
      </c>
      <c r="CC35" s="581" t="str">
        <f>IF(35=35,IF($U35="","",IF(OR(CA35&gt;0,ISNUMBER(SEARCH(" vinaigre de vin ",$AA35)),ISNUMBER(SEARCH(" vinaigre au vin ",$AA35))),"X",IF(CB35&gt;0,"?",""))),"")</f>
        <v/>
      </c>
      <c r="CD35" s="581">
        <f>IF(35=35,IF($U35="","",SUMPRODUCT(--ISNUMBER(SEARCH(" "&amp;$CR$2134:$CR$2146&amp;" ",$AA35)))),"")</f>
        <v>0</v>
      </c>
      <c r="CE35" s="581">
        <f>IF(35=35,IF($U35="","",SUMPRODUCT(--ISNUMBER(SEARCH(" "&amp;$CR$2147:$CR$2152&amp;" ",$AA35)))),"")</f>
        <v>0</v>
      </c>
      <c r="CF35" s="581" t="str">
        <f>IF(35=35,IF($U35="","",IF((CD35)-(0)&gt;0,"X",IF((CE35)-(0)&gt;0,"?",""))),"")</f>
        <v/>
      </c>
      <c r="CG35" s="581">
        <f>IF(35=35,IF($U35="","",SUMPRODUCT(--ISNUMBER(SEARCH(" "&amp;$CR$2153:$CR$2252&amp;" ",$CJ35)))),"")</f>
        <v>0</v>
      </c>
      <c r="CH35" s="581">
        <f>IF(35=35,IF($U35="","",SUMPRODUCT(--ISNUMBER(SEARCH(" "&amp;$CR$2253:$CR$2352&amp;" ",$CJ35)))),"")</f>
        <v>0</v>
      </c>
      <c r="CI35" s="581">
        <f>IF(35=35,IF($U35="","",SUMPRODUCT(--ISNUMBER(SEARCH(" "&amp;$CR$2353:$CR$2395&amp;" ",$CJ35)))),"")</f>
        <v>0</v>
      </c>
      <c r="CJ35" s="581"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parmesan </v>
      </c>
      <c r="CK35" s="581">
        <f>IF(35=35,IF($U35="","",SUMPRODUCT(--ISNUMBER(SEARCH(" "&amp;$CR$2412:$CR$2416&amp;" ",$CJ35)))),"")</f>
        <v>0</v>
      </c>
      <c r="CL35" s="581" t="str">
        <f>IF(35=35,IF($U35="","",IF(SUM(CG35:CI35)&gt;0,"X",IF(CK35&gt;0,"?",""))),"")</f>
        <v/>
      </c>
      <c r="CM35" s="582"/>
      <c r="CN35" s="584" t="s">
        <v>2072</v>
      </c>
      <c r="CO35" s="584" t="s">
        <v>1887</v>
      </c>
      <c r="CP35" s="584" t="s">
        <v>1888</v>
      </c>
      <c r="CQ35" s="584" t="s">
        <v>2073</v>
      </c>
      <c r="CR35" s="584" t="s">
        <v>2073</v>
      </c>
      <c r="CS35" s="584" t="s">
        <v>1890</v>
      </c>
      <c r="CT35" s="584" t="s">
        <v>1891</v>
      </c>
      <c r="CU35" s="584" t="s">
        <v>1892</v>
      </c>
      <c r="CV35" s="585" t="s">
        <v>1893</v>
      </c>
    </row>
    <row r="36" spans="1:100" ht="21.95" customHeight="1" x14ac:dyDescent="0.25">
      <c r="A36" s="597">
        <v>30</v>
      </c>
      <c r="B36" s="598" t="s">
        <v>2074</v>
      </c>
      <c r="C36" s="599" t="str">
        <f t="shared" si="0"/>
        <v>Œufs pasteurisés *</v>
      </c>
      <c r="D36" s="600"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601" t="str">
        <f>IF(36=36,IF($B36="","",AF36),"")</f>
        <v/>
      </c>
      <c r="F36" s="601" t="str">
        <f>IF(36=36,IF($B36="","",AI36),"")</f>
        <v/>
      </c>
      <c r="G36" s="601" t="str">
        <f>IF(36=36,IF($B36="","",AM36),"")</f>
        <v>X</v>
      </c>
      <c r="H36" s="601" t="str">
        <f>IF(36=36,IF($B36="","",AZ36),"")</f>
        <v/>
      </c>
      <c r="I36" s="601" t="str">
        <f>IF(36=36,IF($B36="","",BB36),"")</f>
        <v/>
      </c>
      <c r="J36" s="601" t="str">
        <f>IF(36=36,IF($B36="","",BF36),"")</f>
        <v/>
      </c>
      <c r="K36" s="601" t="str">
        <f>IF(36=36,IF($B36="","",BM36),"")</f>
        <v/>
      </c>
      <c r="L36" s="601" t="str">
        <f>IF(36=36,IF($B36="","",BQ36),"")</f>
        <v/>
      </c>
      <c r="M36" s="601" t="str">
        <f>IF(36=36,IF($B36="","",BT36),"")</f>
        <v/>
      </c>
      <c r="N36" s="601" t="str">
        <f>IF(36=36,IF($B36="","",BW36),"")</f>
        <v/>
      </c>
      <c r="O36" s="601" t="str">
        <f>IF(36=36,IF($B36="","",BZ36),"")</f>
        <v/>
      </c>
      <c r="P36" s="601" t="str">
        <f>IF(36=36,IF($B36="","",CC36),"")</f>
        <v/>
      </c>
      <c r="Q36" s="601" t="str">
        <f>IF(36=36,IF($B36="","",CF36),"")</f>
        <v/>
      </c>
      <c r="R36" s="601" t="str">
        <f>IF(36=36,IF($B36="","",CL36),"")</f>
        <v/>
      </c>
      <c r="S36" s="602"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581" t="str">
        <f>IF(36=36,IF($B36="","",$B36),"")</f>
        <v>Œufs pasteurisés</v>
      </c>
      <c r="V36" s="581" t="str">
        <f>IF(36=36,LOWER(CLEAN(SUBSTITUTE(SUBSTITUTE(SUBSTITUTE(SUBSTITUTE($U36,CHAR(160)," ")," "," "),CHAR(10)," "),CHAR(13)," "))),"")</f>
        <v>œufs pasteurisés</v>
      </c>
      <c r="W36" s="581" t="str">
        <f>IF(36=36,SUBSTITUTE(SUBSTITUTE(SUBSTITUTE(SUBSTITUTE(SUBSTITUTE(SUBSTITUTE(SUBSTITUTE(SUBSTITUTE(SUBSTITUTE(SUBSTITUTE(SUBSTITUTE(SUBSTITUTE($V36,"œ","oe"),"æ","ae"),"à","a"),"á","a"),"â","a"),"ä","a"),"ã","a"),"ç","c"),"è","e"),"é","e"),"ê","e"),"ë","e"),"")</f>
        <v>oeufs pasteurises</v>
      </c>
      <c r="X36" s="581" t="str">
        <f>IF(36=36,SUBSTITUTE(SUBSTITUTE(SUBSTITUTE(SUBSTITUTE(SUBSTITUTE(SUBSTITUTE(SUBSTITUTE(SUBSTITUTE(SUBSTITUTE(SUBSTITUTE(SUBSTITUTE(SUBSTITUTE(SUBSTITUTE(SUBSTITUTE(SUBSTITUTE(SUBSTITUTE($W36,"ì","i"),"í","i"),"î","i"),"ï","i"),"ñ","n"),"ò","o"),"ó","o"),"ô","o"),"ö","o"),"õ","o"),"ù","u"),"ú","u"),"û","u"),"ü","u"),"ý","y"),"ÿ","y"),"")</f>
        <v>oeufs pasteurises</v>
      </c>
      <c r="Y36" s="581" t="str">
        <f>IF(36=36,SUBSTITUTE(SUBSTITUTE(SUBSTITUTE(SUBSTITUTE(SUBSTITUTE(SUBSTITUTE(SUBSTITUTE(SUBSTITUTE(SUBSTITUTE(SUBSTITUTE(SUBSTITUTE(SUBSTITUTE(SUBSTITUTE(SUBSTITUTE($X36,"’"," "),"`"," "),"–"," "),"—"," "),"-"," "),"'"," "),"/"," "),"_"," "),","," "),"."," "),"("," "),")"," "),";"," "),":"," "),"")</f>
        <v>oeufs pasteurises</v>
      </c>
      <c r="Z36" s="581" t="str">
        <f>IF(36=36,SUBSTITUTE(SUBSTITUTE(SUBSTITUTE(SUBSTITUTE(SUBSTITUTE(SUBSTITUTE(SUBSTITUTE(SUBSTITUTE(SUBSTITUTE(SUBSTITUTE(SUBSTITUTE(SUBSTITUTE(SUBSTITUTE(SUBSTITUTE(SUBSTITUTE($Y36,"!"," "),"?"," "),"+"," "),"*"," "),"&amp;"," "),"["," "),"]"," "),"{"," "),"}"," "),"%"," "),"="," "),"\"," "),"|"," "),"&lt;"," "),"&gt;"," "),"")</f>
        <v>oeufs pasteurises</v>
      </c>
      <c r="AA36" s="581" t="str">
        <f>IF(36=36," "&amp;TRIM(SUBSTITUTE(SUBSTITUTE(SUBSTITUTE(SUBSTITUTE(SUBSTITUTE(SUBSTITUTE($Z36,CHAR(34)," "),"  "," "),"  "," "),"  "," "),"  "," "),"  "," "))&amp;" ","")</f>
        <v xml:space="preserve"> oeufs pasteurises </v>
      </c>
      <c r="AB36" s="581">
        <f>IF(36=36,IF($U36="","",SUMPRODUCT(--ISNUMBER(SEARCH(" "&amp;$CR$2:$CR$101&amp;" ",$AD36)))),"")</f>
        <v>0</v>
      </c>
      <c r="AC36" s="581">
        <f>IF(36=36,IF($U36="","",SUMPRODUCT(--ISNUMBER(SEARCH(" "&amp;$CR$102:$CR$151&amp;" ",$AD36)))),"")</f>
        <v>0</v>
      </c>
      <c r="AD36" s="581" t="e">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6" s="581">
        <f>IF(36=36,IF($U36="","",SUMPRODUCT(--ISNUMBER(SEARCH(" "&amp;$CR$184:$CR$205&amp;" ",$AD36)))),"")</f>
        <v>0</v>
      </c>
      <c r="AF36" s="581" t="str">
        <f>IF(36=36,IF($U36="","",IF(SUM(AB36:AC36)+SUMPRODUCT(--ISNUMBER(SEARCH(" "&amp;$CR$2418:$CR$2420&amp;" ",$AD36)))&gt;0,"X",IF(AE36&gt;0,"?",""))),"")</f>
        <v/>
      </c>
      <c r="AG36" s="581">
        <f>IF(36=36,IF($U36="","",SUMPRODUCT(--ISNUMBER(SEARCH(" "&amp;$CR$206:$CR$305&amp;" ",$AA36)))),"")</f>
        <v>0</v>
      </c>
      <c r="AH36" s="581">
        <f>IF(36=36,IF($U36="","",SUMPRODUCT(--ISNUMBER(SEARCH(" "&amp;$CR$306:$CR$340&amp;" ",$AA36)))),"")</f>
        <v>0</v>
      </c>
      <c r="AI36" s="581" t="str">
        <f>IF(36=36,IF($U36="","",IF((SUM(AG36:AH36))-(0)&gt;0,"X",IF((0)-(0)&gt;0,"?",""))),"")</f>
        <v/>
      </c>
      <c r="AJ36" s="581">
        <f>IF(36=36,IF($U36="","",SUMPRODUCT(--ISNUMBER(SEARCH(" "&amp;$CR$341:$CR$398&amp;" ",$AA36)))),"")</f>
        <v>1</v>
      </c>
      <c r="AK36" s="581">
        <f>IF(36=36,IF($U36="","",SUMPRODUCT(--ISNUMBER(SEARCH(" "&amp;$CR$399:$CR$426&amp;" ",$AL36)))+SUMPRODUCT(--ISNUMBER(SEARCH(" "&amp;$CR$2440:$CR$2453&amp;" ",$AL36)))),"")</f>
        <v>0</v>
      </c>
      <c r="AL36" s="581" t="str">
        <f>IF(36=36,IF($U36="","",SUBSTITUTE(SUBSTITUTE(SUBSTITUTE(SUBSTITUTE(SUBSTITUTE(SUBSTITUTE(SUBSTITUTE(SUBSTITUTE(SUBSTITUTE(SUBSTITUTE(SUBSTITUTE(SUBSTITUTE(SUBSTITUTE($AA36," "&amp;$CR$433&amp;" "," ")," "&amp;$CR$431&amp;" "," ")," "&amp;$CR$2438&amp;" "," ")," "&amp;$CR$2439&amp;" "," ")," "&amp;$CR$428&amp;" "," ")," "&amp;$CR$432&amp;" "," ")," "&amp;$CR$434&amp;" "," ")," "&amp;$CR$429&amp;" "," ")," "&amp;$CR$427&amp;" "," ")," "&amp;$CR$1367&amp;" "," ")," "&amp;$CR$435&amp;" "," ")," "&amp;$CR$1366&amp;" "," ")," "&amp;$CR$430&amp;" "," ")),"")</f>
        <v xml:space="preserve"> oeufs pasteurises </v>
      </c>
      <c r="AM36" s="581" t="str">
        <f>IF(36=36,IF($U36="","",IF(AJ36&gt;0,"X",IF(AK36&gt;0,"?",""))),"")</f>
        <v>X</v>
      </c>
      <c r="AN36" s="581">
        <f>IF(36=36,IF($U36="","",SUMPRODUCT(--ISNUMBER(SEARCH(" "&amp;$CR$436:$CR$535&amp;" ",$AX36)))),"")</f>
        <v>0</v>
      </c>
      <c r="AO36" s="581">
        <f>IF(36=36,IF($U36="","",SUMPRODUCT(--ISNUMBER(SEARCH(" "&amp;$CR$536:$CR$635&amp;" ",$AX36)))),"")</f>
        <v>0</v>
      </c>
      <c r="AP36" s="581">
        <f>IF(36=36,IF($U36="","",SUMPRODUCT(--ISNUMBER(SEARCH(" "&amp;$CR$636:$CR$735&amp;" ",$AX36)))),"")</f>
        <v>0</v>
      </c>
      <c r="AQ36" s="581">
        <f>IF(36=36,IF($U36="","",SUMPRODUCT(--ISNUMBER(SEARCH(" "&amp;$CR$736:$CR$835&amp;" ",$AX36)))),"")</f>
        <v>0</v>
      </c>
      <c r="AR36" s="581">
        <f>IF(36=36,IF($U36="","",SUMPRODUCT(--ISNUMBER(SEARCH(" "&amp;$CR$836:$CR$935&amp;" ",$AX36)))),"")</f>
        <v>0</v>
      </c>
      <c r="AS36" s="581">
        <f>IF(36=36,IF($U36="","",SUMPRODUCT(--ISNUMBER(SEARCH(" "&amp;$CR$936:$CR$1035&amp;" ",$AX36)))),"")</f>
        <v>0</v>
      </c>
      <c r="AT36" s="581">
        <f>IF(36=36,IF($U36="","",SUMPRODUCT(--ISNUMBER(SEARCH(" "&amp;$CR$1036:$CR$1135&amp;" ",$AX36)))),"")</f>
        <v>0</v>
      </c>
      <c r="AU36" s="581">
        <f>IF(36=36,IF($U36="","",SUMPRODUCT(--ISNUMBER(SEARCH(" "&amp;$CR$1136:$CR$1235&amp;" ",$AX36)))),"")</f>
        <v>0</v>
      </c>
      <c r="AV36" s="581">
        <f>IF(36=36,IF($U36="","",SUMPRODUCT(--ISNUMBER(SEARCH(" "&amp;$CR$1236:$CR$1335&amp;" ",$AX36)))),"")</f>
        <v>0</v>
      </c>
      <c r="AW36" s="581">
        <f>IF(36=36,IF($U36="","",SUMPRODUCT(--ISNUMBER(SEARCH(" "&amp;$CR$1336:$CR$1363&amp;" ",$AX36)))),"")</f>
        <v>0</v>
      </c>
      <c r="AX36" s="581" t="str">
        <f>IF(36=36,IF($U36="","",SUBSTITUTE(SUBSTITUTE(SUBSTITUTE(SUBSTITUTE(SUBSTITUTE(SUBSTITUTE(SUBSTITUTE(SUBSTITUTE(SUBSTITUTE($AA36," "&amp;$CR$1365&amp;" "," ")," "&amp;$CR$1364&amp;" "," ")," "&amp;$CR$1370&amp;" "," ")," "&amp;$CR$1371&amp;" "," ")," "&amp;$CR$1367&amp;" "," ")," "&amp;$CR$1369&amp;" "," ")," "&amp;$CR$1366&amp;" "," ")," "&amp;$CR$1368&amp;" "," ")," "&amp;$CR$1372&amp;" "," ")),"")</f>
        <v xml:space="preserve"> oeufs pasteurises </v>
      </c>
      <c r="AY36" s="581">
        <f>IF(36=36,IF($U36="","",SUMPRODUCT(--ISNUMBER(SEARCH(" "&amp;$CR$1373:$CR$1383&amp;" ",$AX36)))),"")</f>
        <v>0</v>
      </c>
      <c r="AZ36" s="581" t="str">
        <f>IF(36=36,IF($U36="","",IF(SUM(AN36:AW36)+SUMPRODUCT(--ISNUMBER(SEARCH(" "&amp;$CR$2421:$CR$2422&amp;" ",$AX36)))&gt;0,"X",IF(AY36&gt;0,"?",""))),"")</f>
        <v/>
      </c>
      <c r="BA36" s="581">
        <f>IF(36=36,IF($U36="","",SUMPRODUCT(--ISNUMBER(SEARCH(" "&amp;$CR$1384:$CR$1404&amp;" ",$AA36)))),"")</f>
        <v>0</v>
      </c>
      <c r="BB36" s="581" t="str">
        <f>IF(36=36,IF($U36="","",IF((BA36)-(0)&gt;0,"X",IF((0)-(0)&gt;0,"?",""))),"")</f>
        <v/>
      </c>
      <c r="BC36" s="581">
        <f>IF(36=36,IF($U36="","",SUMPRODUCT(--ISNUMBER(SEARCH(" "&amp;$CR$1405:$CR$1442&amp;" ",$BD36)))),"")</f>
        <v>0</v>
      </c>
      <c r="BD36" s="581" t="str">
        <f>IF(36=36,IF($U36="","",SUBSTITUTE(SUBSTITUTE($AA36," "&amp;$CR$1443&amp;" "," ")," "&amp;$CR$1444&amp;" "," ")),"")</f>
        <v xml:space="preserve"> oeufs pasteurises </v>
      </c>
      <c r="BE36" s="581">
        <f>IF(36=36,IF($U36="","",SUMPRODUCT(--ISNUMBER(SEARCH(" "&amp;$CR$1445:$CR$1455&amp;" ",$BD36)))),"")</f>
        <v>0</v>
      </c>
      <c r="BF36" s="581" t="str">
        <f>IF(36=36,IF($U36="","",IF(BC36&gt;0,"X",IF(BE36&gt;0,"?",""))),"")</f>
        <v/>
      </c>
      <c r="BG36" s="581">
        <f>IF(36=36,IF($U36="","",SUMPRODUCT(--ISNUMBER(SEARCH(" "&amp;$CR$1456:$CR$1555&amp;" ",$BJ36)))),"")</f>
        <v>0</v>
      </c>
      <c r="BH36" s="581">
        <f>IF(36=36,IF($U36="","",SUMPRODUCT(--ISNUMBER(SEARCH(" "&amp;$CR$1556:$CR$1655&amp;" ",$BJ36)))),"")</f>
        <v>0</v>
      </c>
      <c r="BI36" s="581">
        <f>IF(36=36,IF($U36="","",SUMPRODUCT(--ISNUMBER(SEARCH(" "&amp;$CR$1656:$CR$1739&amp;" ",$BJ36)))),"")</f>
        <v>0</v>
      </c>
      <c r="BJ36" s="581"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pasteurises </v>
      </c>
      <c r="BK36" s="581">
        <f>IF(36=36,IF($U36="","",SUMPRODUCT(--ISNUMBER(SEARCH(" "&amp;$CR$1790:$CR$1869&amp;" ",$BL36)))+SUMPRODUCT(--ISNUMBER(SEARCH(" "&amp;$CR$2440:$CR$2453&amp;" ",$BL36)))),"")</f>
        <v>0</v>
      </c>
      <c r="BL36" s="581"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oeufs pasteurises </v>
      </c>
      <c r="BM36" s="581" t="str">
        <f>IF(36=36,IF($U36="","",IF(SUM(BG36:BI36)+SUMPRODUCT(--ISNUMBER(SEARCH(" "&amp;$CR$2423:$CR$2424&amp;" ",$BJ36)))&gt;0,"X",IF(BK36&gt;0,"?",""))),"")</f>
        <v/>
      </c>
      <c r="BN36" s="581">
        <f>IF(36=36,IF($U36="","",SUMPRODUCT(--ISNUMBER(SEARCH(" "&amp;$CR$1879:$CR$1936&amp;" ",$BO36)))),"")</f>
        <v>0</v>
      </c>
      <c r="BO36" s="581"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pasteurises </v>
      </c>
      <c r="BP36" s="581">
        <f>IF(36=36,IF($U36="","",SUMPRODUCT(--ISNUMBER(SEARCH(" "&amp;$CR$1960:$CR$1976&amp;" ",$BO36)))),"")</f>
        <v>0</v>
      </c>
      <c r="BQ36" s="581" t="str">
        <f>IF(36=36,IF($U36="","",IF(BN36&gt;0,"X",IF(BP36&gt;0,"?",""))),"")</f>
        <v/>
      </c>
      <c r="BR36" s="581">
        <f>IF(36=36,IF($U36="","",SUMPRODUCT(--ISNUMBER(SEARCH(" "&amp;$CR$1977:$CR$1990&amp;" ",$AA36)))),"")</f>
        <v>0</v>
      </c>
      <c r="BS36" s="581">
        <f>IF(36=36,IF($U36="","",SUMPRODUCT(--ISNUMBER(SEARCH(" "&amp;$CR$1991:$CR$2005&amp;" ",$AA36)))),"")</f>
        <v>0</v>
      </c>
      <c r="BT36" s="581" t="str">
        <f>IF(36=36,IF($U36="","",IF((BR36)-(0)&gt;0,"X",IF((BS36)-(0)&gt;0,"?",""))),"")</f>
        <v/>
      </c>
      <c r="BU36" s="581">
        <f>IF(36=36,IF($U36="","",SUMPRODUCT(--ISNUMBER(SEARCH(" "&amp;$CR$2006:$CR$2023&amp;" ",$AA36)))),"")</f>
        <v>0</v>
      </c>
      <c r="BV36" s="581">
        <f>IF(36=36,IF($U36="","",SUMPRODUCT(--ISNUMBER(SEARCH(" "&amp;$CR$2024:$CR$2038&amp;" ",$AA36)))),"")</f>
        <v>0</v>
      </c>
      <c r="BW36" s="581" t="str">
        <f>IF(36=36,IF($U36="","",IF((BU36)-(0)&gt;0,"X",IF((BV36)-(0)&gt;0,"?",""))),"")</f>
        <v/>
      </c>
      <c r="BX36" s="581">
        <f>IF(36=36,IF($U36="","",SUMPRODUCT(--ISNUMBER(SEARCH(" "&amp;$CR$2039:$CR$2057&amp;" ",$AA36)))),"")</f>
        <v>0</v>
      </c>
      <c r="BY36" s="581">
        <f>IF(36=36,IF($U36="","",SUMPRODUCT(--ISNUMBER(SEARCH(" "&amp;$CR$2058:$CR$2072&amp;" ",$AA36)))),"")</f>
        <v>0</v>
      </c>
      <c r="BZ36" s="581" t="str">
        <f>IF(36=36,IF($U36="","",IF((BX36)-(0)&gt;0,"X",IF((BY36)-(0)&gt;0,"?",""))),"")</f>
        <v/>
      </c>
      <c r="CA36" s="581">
        <f>IF(36=36,IF($U36="","",SUMPRODUCT(--ISNUMBER(SEARCH(" "&amp;$CR$2073:$CR$2093&amp;" ",$AA36)))),"")</f>
        <v>0</v>
      </c>
      <c r="CB36" s="581">
        <f>IF(36=36,IF($U36="","",SUMPRODUCT(--ISNUMBER(SEARCH(" "&amp;$CR$2094:$CR$2133&amp;" ",SUBSTITUTE(SUBSTITUTE($AA36," "&amp;$CR$1367&amp;" "," ")," "&amp;$CR$1366&amp;" "," "))))+--ISNUMBER(SEARCH("poiré",$V36))),"")</f>
        <v>0</v>
      </c>
      <c r="CC36" s="581" t="str">
        <f>IF(36=36,IF($U36="","",IF(OR(CA36&gt;0,ISNUMBER(SEARCH(" vinaigre de vin ",$AA36)),ISNUMBER(SEARCH(" vinaigre au vin ",$AA36))),"X",IF(CB36&gt;0,"?",""))),"")</f>
        <v/>
      </c>
      <c r="CD36" s="581">
        <f>IF(36=36,IF($U36="","",SUMPRODUCT(--ISNUMBER(SEARCH(" "&amp;$CR$2134:$CR$2146&amp;" ",$AA36)))),"")</f>
        <v>0</v>
      </c>
      <c r="CE36" s="581">
        <f>IF(36=36,IF($U36="","",SUMPRODUCT(--ISNUMBER(SEARCH(" "&amp;$CR$2147:$CR$2152&amp;" ",$AA36)))),"")</f>
        <v>0</v>
      </c>
      <c r="CF36" s="581" t="str">
        <f>IF(36=36,IF($U36="","",IF((CD36)-(0)&gt;0,"X",IF((CE36)-(0)&gt;0,"?",""))),"")</f>
        <v/>
      </c>
      <c r="CG36" s="581">
        <f>IF(36=36,IF($U36="","",SUMPRODUCT(--ISNUMBER(SEARCH(" "&amp;$CR$2153:$CR$2252&amp;" ",$CJ36)))),"")</f>
        <v>0</v>
      </c>
      <c r="CH36" s="581">
        <f>IF(36=36,IF($U36="","",SUMPRODUCT(--ISNUMBER(SEARCH(" "&amp;$CR$2253:$CR$2352&amp;" ",$CJ36)))),"")</f>
        <v>0</v>
      </c>
      <c r="CI36" s="581">
        <f>IF(36=36,IF($U36="","",SUMPRODUCT(--ISNUMBER(SEARCH(" "&amp;$CR$2353:$CR$2395&amp;" ",$CJ36)))),"")</f>
        <v>0</v>
      </c>
      <c r="CJ36" s="581"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oeufs pasteurises </v>
      </c>
      <c r="CK36" s="581">
        <f>IF(36=36,IF($U36="","",SUMPRODUCT(--ISNUMBER(SEARCH(" "&amp;$CR$2412:$CR$2416&amp;" ",$CJ36)))),"")</f>
        <v>0</v>
      </c>
      <c r="CL36" s="581" t="str">
        <f>IF(36=36,IF($U36="","",IF(SUM(CG36:CI36)&gt;0,"X",IF(CK36&gt;0,"?",""))),"")</f>
        <v/>
      </c>
      <c r="CM36" s="582"/>
      <c r="CN36" s="584" t="s">
        <v>2075</v>
      </c>
      <c r="CO36" s="584" t="s">
        <v>1887</v>
      </c>
      <c r="CP36" s="584" t="s">
        <v>1888</v>
      </c>
      <c r="CQ36" s="584" t="s">
        <v>2076</v>
      </c>
      <c r="CR36" s="584" t="s">
        <v>2077</v>
      </c>
      <c r="CS36" s="584" t="s">
        <v>1890</v>
      </c>
      <c r="CT36" s="584" t="s">
        <v>1891</v>
      </c>
      <c r="CU36" s="584" t="s">
        <v>1892</v>
      </c>
      <c r="CV36" s="585" t="s">
        <v>1893</v>
      </c>
    </row>
    <row r="37" spans="1:100" ht="21.95" customHeight="1" x14ac:dyDescent="0.25">
      <c r="A37" s="597">
        <v>31</v>
      </c>
      <c r="B37" s="598" t="s">
        <v>2078</v>
      </c>
      <c r="C37" s="599" t="str">
        <f t="shared" si="0"/>
        <v>Levure biologique</v>
      </c>
      <c r="D37" s="600"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601" t="str">
        <f>IF(37=37,IF($B37="","",AF37),"")</f>
        <v/>
      </c>
      <c r="F37" s="601" t="str">
        <f>IF(37=37,IF($B37="","",AI37),"")</f>
        <v/>
      </c>
      <c r="G37" s="601" t="str">
        <f>IF(37=37,IF($B37="","",AM37),"")</f>
        <v/>
      </c>
      <c r="H37" s="601" t="str">
        <f>IF(37=37,IF($B37="","",AZ37),"")</f>
        <v/>
      </c>
      <c r="I37" s="601" t="str">
        <f>IF(37=37,IF($B37="","",BB37),"")</f>
        <v/>
      </c>
      <c r="J37" s="601" t="str">
        <f>IF(37=37,IF($B37="","",BF37),"")</f>
        <v/>
      </c>
      <c r="K37" s="601" t="str">
        <f>IF(37=37,IF($B37="","",BM37),"")</f>
        <v/>
      </c>
      <c r="L37" s="601" t="str">
        <f>IF(37=37,IF($B37="","",BQ37),"")</f>
        <v/>
      </c>
      <c r="M37" s="601" t="str">
        <f>IF(37=37,IF($B37="","",BT37),"")</f>
        <v/>
      </c>
      <c r="N37" s="601" t="str">
        <f>IF(37=37,IF($B37="","",BW37),"")</f>
        <v/>
      </c>
      <c r="O37" s="601" t="str">
        <f>IF(37=37,IF($B37="","",BZ37),"")</f>
        <v/>
      </c>
      <c r="P37" s="601" t="str">
        <f>IF(37=37,IF($B37="","",CC37),"")</f>
        <v/>
      </c>
      <c r="Q37" s="601" t="str">
        <f>IF(37=37,IF($B37="","",CF37),"")</f>
        <v/>
      </c>
      <c r="R37" s="601" t="str">
        <f>IF(37=37,IF($B37="","",CL37),"")</f>
        <v/>
      </c>
      <c r="S37" s="602"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581" t="str">
        <f>IF(37=37,IF($B37="","",$B37),"")</f>
        <v>Levure biologique</v>
      </c>
      <c r="V37" s="581" t="str">
        <f>IF(37=37,LOWER(CLEAN(SUBSTITUTE(SUBSTITUTE(SUBSTITUTE(SUBSTITUTE($U37,CHAR(160)," ")," "," "),CHAR(10)," "),CHAR(13)," "))),"")</f>
        <v>levure biologique</v>
      </c>
      <c r="W37" s="581" t="str">
        <f>IF(37=37,SUBSTITUTE(SUBSTITUTE(SUBSTITUTE(SUBSTITUTE(SUBSTITUTE(SUBSTITUTE(SUBSTITUTE(SUBSTITUTE(SUBSTITUTE(SUBSTITUTE(SUBSTITUTE(SUBSTITUTE($V37,"œ","oe"),"æ","ae"),"à","a"),"á","a"),"â","a"),"ä","a"),"ã","a"),"ç","c"),"è","e"),"é","e"),"ê","e"),"ë","e"),"")</f>
        <v>levure biologique</v>
      </c>
      <c r="X37" s="581" t="str">
        <f>IF(37=37,SUBSTITUTE(SUBSTITUTE(SUBSTITUTE(SUBSTITUTE(SUBSTITUTE(SUBSTITUTE(SUBSTITUTE(SUBSTITUTE(SUBSTITUTE(SUBSTITUTE(SUBSTITUTE(SUBSTITUTE(SUBSTITUTE(SUBSTITUTE(SUBSTITUTE(SUBSTITUTE($W37,"ì","i"),"í","i"),"î","i"),"ï","i"),"ñ","n"),"ò","o"),"ó","o"),"ô","o"),"ö","o"),"õ","o"),"ù","u"),"ú","u"),"û","u"),"ü","u"),"ý","y"),"ÿ","y"),"")</f>
        <v>levure biologique</v>
      </c>
      <c r="Y37" s="581" t="str">
        <f>IF(37=37,SUBSTITUTE(SUBSTITUTE(SUBSTITUTE(SUBSTITUTE(SUBSTITUTE(SUBSTITUTE(SUBSTITUTE(SUBSTITUTE(SUBSTITUTE(SUBSTITUTE(SUBSTITUTE(SUBSTITUTE(SUBSTITUTE(SUBSTITUTE($X37,"’"," "),"`"," "),"–"," "),"—"," "),"-"," "),"'"," "),"/"," "),"_"," "),","," "),"."," "),"("," "),")"," "),";"," "),":"," "),"")</f>
        <v>levure biologique</v>
      </c>
      <c r="Z37" s="581" t="str">
        <f>IF(37=37,SUBSTITUTE(SUBSTITUTE(SUBSTITUTE(SUBSTITUTE(SUBSTITUTE(SUBSTITUTE(SUBSTITUTE(SUBSTITUTE(SUBSTITUTE(SUBSTITUTE(SUBSTITUTE(SUBSTITUTE(SUBSTITUTE(SUBSTITUTE(SUBSTITUTE($Y37,"!"," "),"?"," "),"+"," "),"*"," "),"&amp;"," "),"["," "),"]"," "),"{"," "),"}"," "),"%"," "),"="," "),"\"," "),"|"," "),"&lt;"," "),"&gt;"," "),"")</f>
        <v>levure biologique</v>
      </c>
      <c r="AA37" s="581" t="str">
        <f>IF(37=37," "&amp;TRIM(SUBSTITUTE(SUBSTITUTE(SUBSTITUTE(SUBSTITUTE(SUBSTITUTE(SUBSTITUTE($Z37,CHAR(34)," "),"  "," "),"  "," "),"  "," "),"  "," "),"  "," "))&amp;" ","")</f>
        <v xml:space="preserve"> levure biologique </v>
      </c>
      <c r="AB37" s="581">
        <f>IF(37=37,IF($U37="","",SUMPRODUCT(--ISNUMBER(SEARCH(" "&amp;$CR$2:$CR$101&amp;" ",$AD37)))),"")</f>
        <v>0</v>
      </c>
      <c r="AC37" s="581">
        <f>IF(37=37,IF($U37="","",SUMPRODUCT(--ISNUMBER(SEARCH(" "&amp;$CR$102:$CR$151&amp;" ",$AD37)))),"")</f>
        <v>0</v>
      </c>
      <c r="AD37" s="581" t="e">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#REF!</v>
      </c>
      <c r="AE37" s="581">
        <f>IF(37=37,IF($U37="","",SUMPRODUCT(--ISNUMBER(SEARCH(" "&amp;$CR$184:$CR$205&amp;" ",$AD37)))),"")</f>
        <v>0</v>
      </c>
      <c r="AF37" s="581" t="str">
        <f>IF(37=37,IF($U37="","",IF(SUM(AB37:AC37)+SUMPRODUCT(--ISNUMBER(SEARCH(" "&amp;$CR$2418:$CR$2420&amp;" ",$AD37)))&gt;0,"X",IF(AE37&gt;0,"?",""))),"")</f>
        <v/>
      </c>
      <c r="AG37" s="581">
        <f>IF(37=37,IF($U37="","",SUMPRODUCT(--ISNUMBER(SEARCH(" "&amp;$CR$206:$CR$305&amp;" ",$AA37)))),"")</f>
        <v>0</v>
      </c>
      <c r="AH37" s="581">
        <f>IF(37=37,IF($U37="","",SUMPRODUCT(--ISNUMBER(SEARCH(" "&amp;$CR$306:$CR$340&amp;" ",$AA37)))),"")</f>
        <v>0</v>
      </c>
      <c r="AI37" s="581" t="str">
        <f>IF(37=37,IF($U37="","",IF((SUM(AG37:AH37))-(0)&gt;0,"X",IF((0)-(0)&gt;0,"?",""))),"")</f>
        <v/>
      </c>
      <c r="AJ37" s="581">
        <f>IF(37=37,IF($U37="","",SUMPRODUCT(--ISNUMBER(SEARCH(" "&amp;$CR$341:$CR$398&amp;" ",$AA37)))),"")</f>
        <v>0</v>
      </c>
      <c r="AK37" s="581">
        <f>IF(37=37,IF($U37="","",SUMPRODUCT(--ISNUMBER(SEARCH(" "&amp;$CR$399:$CR$426&amp;" ",$AL37)))+SUMPRODUCT(--ISNUMBER(SEARCH(" "&amp;$CR$2440:$CR$2453&amp;" ",$AL37)))),"")</f>
        <v>0</v>
      </c>
      <c r="AL37" s="581" t="str">
        <f>IF(37=37,IF($U37="","",SUBSTITUTE(SUBSTITUTE(SUBSTITUTE(SUBSTITUTE(SUBSTITUTE(SUBSTITUTE(SUBSTITUTE(SUBSTITUTE(SUBSTITUTE(SUBSTITUTE(SUBSTITUTE(SUBSTITUTE(SUBSTITUTE($AA37," "&amp;$CR$433&amp;" "," ")," "&amp;$CR$431&amp;" "," ")," "&amp;$CR$2438&amp;" "," ")," "&amp;$CR$2439&amp;" "," ")," "&amp;$CR$428&amp;" "," ")," "&amp;$CR$432&amp;" "," ")," "&amp;$CR$434&amp;" "," ")," "&amp;$CR$429&amp;" "," ")," "&amp;$CR$427&amp;" "," ")," "&amp;$CR$1367&amp;" "," ")," "&amp;$CR$435&amp;" "," ")," "&amp;$CR$1366&amp;" "," ")," "&amp;$CR$430&amp;" "," ")),"")</f>
        <v xml:space="preserve"> levure biologique </v>
      </c>
      <c r="AM37" s="581" t="str">
        <f>IF(37=37,IF($U37="","",IF(AJ37&gt;0,"X",IF(AK37&gt;0,"?",""))),"")</f>
        <v/>
      </c>
      <c r="AN37" s="581">
        <f>IF(37=37,IF($U37="","",SUMPRODUCT(--ISNUMBER(SEARCH(" "&amp;$CR$436:$CR$535&amp;" ",$AX37)))),"")</f>
        <v>0</v>
      </c>
      <c r="AO37" s="581">
        <f>IF(37=37,IF($U37="","",SUMPRODUCT(--ISNUMBER(SEARCH(" "&amp;$CR$536:$CR$635&amp;" ",$AX37)))),"")</f>
        <v>0</v>
      </c>
      <c r="AP37" s="581">
        <f>IF(37=37,IF($U37="","",SUMPRODUCT(--ISNUMBER(SEARCH(" "&amp;$CR$636:$CR$735&amp;" ",$AX37)))),"")</f>
        <v>0</v>
      </c>
      <c r="AQ37" s="581">
        <f>IF(37=37,IF($U37="","",SUMPRODUCT(--ISNUMBER(SEARCH(" "&amp;$CR$736:$CR$835&amp;" ",$AX37)))),"")</f>
        <v>0</v>
      </c>
      <c r="AR37" s="581">
        <f>IF(37=37,IF($U37="","",SUMPRODUCT(--ISNUMBER(SEARCH(" "&amp;$CR$836:$CR$935&amp;" ",$AX37)))),"")</f>
        <v>0</v>
      </c>
      <c r="AS37" s="581">
        <f>IF(37=37,IF($U37="","",SUMPRODUCT(--ISNUMBER(SEARCH(" "&amp;$CR$936:$CR$1035&amp;" ",$AX37)))),"")</f>
        <v>0</v>
      </c>
      <c r="AT37" s="581">
        <f>IF(37=37,IF($U37="","",SUMPRODUCT(--ISNUMBER(SEARCH(" "&amp;$CR$1036:$CR$1135&amp;" ",$AX37)))),"")</f>
        <v>0</v>
      </c>
      <c r="AU37" s="581">
        <f>IF(37=37,IF($U37="","",SUMPRODUCT(--ISNUMBER(SEARCH(" "&amp;$CR$1136:$CR$1235&amp;" ",$AX37)))),"")</f>
        <v>0</v>
      </c>
      <c r="AV37" s="581">
        <f>IF(37=37,IF($U37="","",SUMPRODUCT(--ISNUMBER(SEARCH(" "&amp;$CR$1236:$CR$1335&amp;" ",$AX37)))),"")</f>
        <v>0</v>
      </c>
      <c r="AW37" s="581">
        <f>IF(37=37,IF($U37="","",SUMPRODUCT(--ISNUMBER(SEARCH(" "&amp;$CR$1336:$CR$1363&amp;" ",$AX37)))),"")</f>
        <v>0</v>
      </c>
      <c r="AX37" s="581" t="str">
        <f>IF(37=37,IF($U37="","",SUBSTITUTE(SUBSTITUTE(SUBSTITUTE(SUBSTITUTE(SUBSTITUTE(SUBSTITUTE(SUBSTITUTE(SUBSTITUTE(SUBSTITUTE($AA37," "&amp;$CR$1365&amp;" "," ")," "&amp;$CR$1364&amp;" "," ")," "&amp;$CR$1370&amp;" "," ")," "&amp;$CR$1371&amp;" "," ")," "&amp;$CR$1367&amp;" "," ")," "&amp;$CR$1369&amp;" "," ")," "&amp;$CR$1366&amp;" "," ")," "&amp;$CR$1368&amp;" "," ")," "&amp;$CR$1372&amp;" "," ")),"")</f>
        <v xml:space="preserve"> levure biologique </v>
      </c>
      <c r="AY37" s="581">
        <f>IF(37=37,IF($U37="","",SUMPRODUCT(--ISNUMBER(SEARCH(" "&amp;$CR$1373:$CR$1383&amp;" ",$AX37)))),"")</f>
        <v>0</v>
      </c>
      <c r="AZ37" s="581" t="str">
        <f>IF(37=37,IF($U37="","",IF(SUM(AN37:AW37)+SUMPRODUCT(--ISNUMBER(SEARCH(" "&amp;$CR$2421:$CR$2422&amp;" ",$AX37)))&gt;0,"X",IF(AY37&gt;0,"?",""))),"")</f>
        <v/>
      </c>
      <c r="BA37" s="581">
        <f>IF(37=37,IF($U37="","",SUMPRODUCT(--ISNUMBER(SEARCH(" "&amp;$CR$1384:$CR$1404&amp;" ",$AA37)))),"")</f>
        <v>0</v>
      </c>
      <c r="BB37" s="581" t="str">
        <f>IF(37=37,IF($U37="","",IF((BA37)-(0)&gt;0,"X",IF((0)-(0)&gt;0,"?",""))),"")</f>
        <v/>
      </c>
      <c r="BC37" s="581">
        <f>IF(37=37,IF($U37="","",SUMPRODUCT(--ISNUMBER(SEARCH(" "&amp;$CR$1405:$CR$1442&amp;" ",$BD37)))),"")</f>
        <v>0</v>
      </c>
      <c r="BD37" s="581" t="str">
        <f>IF(37=37,IF($U37="","",SUBSTITUTE(SUBSTITUTE($AA37," "&amp;$CR$1443&amp;" "," ")," "&amp;$CR$1444&amp;" "," ")),"")</f>
        <v xml:space="preserve"> levure biologique </v>
      </c>
      <c r="BE37" s="581">
        <f>IF(37=37,IF($U37="","",SUMPRODUCT(--ISNUMBER(SEARCH(" "&amp;$CR$1445:$CR$1455&amp;" ",$BD37)))),"")</f>
        <v>0</v>
      </c>
      <c r="BF37" s="581" t="str">
        <f>IF(37=37,IF($U37="","",IF(BC37&gt;0,"X",IF(BE37&gt;0,"?",""))),"")</f>
        <v/>
      </c>
      <c r="BG37" s="581">
        <f>IF(37=37,IF($U37="","",SUMPRODUCT(--ISNUMBER(SEARCH(" "&amp;$CR$1456:$CR$1555&amp;" ",$BJ37)))),"")</f>
        <v>0</v>
      </c>
      <c r="BH37" s="581">
        <f>IF(37=37,IF($U37="","",SUMPRODUCT(--ISNUMBER(SEARCH(" "&amp;$CR$1556:$CR$1655&amp;" ",$BJ37)))),"")</f>
        <v>0</v>
      </c>
      <c r="BI37" s="581">
        <f>IF(37=37,IF($U37="","",SUMPRODUCT(--ISNUMBER(SEARCH(" "&amp;$CR$1656:$CR$1739&amp;" ",$BJ37)))),"")</f>
        <v>0</v>
      </c>
      <c r="BJ37" s="581"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levure biologique </v>
      </c>
      <c r="BK37" s="581">
        <f>IF(37=37,IF($U37="","",SUMPRODUCT(--ISNUMBER(SEARCH(" "&amp;$CR$1790:$CR$1869&amp;" ",$BL37)))+SUMPRODUCT(--ISNUMBER(SEARCH(" "&amp;$CR$2440:$CR$2453&amp;" ",$BL37)))),"")</f>
        <v>0</v>
      </c>
      <c r="BL37" s="581"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levure biologique </v>
      </c>
      <c r="BM37" s="581" t="str">
        <f>IF(37=37,IF($U37="","",IF(SUM(BG37:BI37)+SUMPRODUCT(--ISNUMBER(SEARCH(" "&amp;$CR$2423:$CR$2424&amp;" ",$BJ37)))&gt;0,"X",IF(BK37&gt;0,"?",""))),"")</f>
        <v/>
      </c>
      <c r="BN37" s="581">
        <f>IF(37=37,IF($U37="","",SUMPRODUCT(--ISNUMBER(SEARCH(" "&amp;$CR$1879:$CR$1936&amp;" ",$BO37)))),"")</f>
        <v>0</v>
      </c>
      <c r="BO37" s="581"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levure biologique </v>
      </c>
      <c r="BP37" s="581">
        <f>IF(37=37,IF($U37="","",SUMPRODUCT(--ISNUMBER(SEARCH(" "&amp;$CR$1960:$CR$1976&amp;" ",$BO37)))),"")</f>
        <v>0</v>
      </c>
      <c r="BQ37" s="581" t="str">
        <f>IF(37=37,IF($U37="","",IF(BN37&gt;0,"X",IF(BP37&gt;0,"?",""))),"")</f>
        <v/>
      </c>
      <c r="BR37" s="581">
        <f>IF(37=37,IF($U37="","",SUMPRODUCT(--ISNUMBER(SEARCH(" "&amp;$CR$1977:$CR$1990&amp;" ",$AA37)))),"")</f>
        <v>0</v>
      </c>
      <c r="BS37" s="581">
        <f>IF(37=37,IF($U37="","",SUMPRODUCT(--ISNUMBER(SEARCH(" "&amp;$CR$1991:$CR$2005&amp;" ",$AA37)))),"")</f>
        <v>0</v>
      </c>
      <c r="BT37" s="581" t="str">
        <f>IF(37=37,IF($U37="","",IF((BR37)-(0)&gt;0,"X",IF((BS37)-(0)&gt;0,"?",""))),"")</f>
        <v/>
      </c>
      <c r="BU37" s="581">
        <f>IF(37=37,IF($U37="","",SUMPRODUCT(--ISNUMBER(SEARCH(" "&amp;$CR$2006:$CR$2023&amp;" ",$AA37)))),"")</f>
        <v>0</v>
      </c>
      <c r="BV37" s="581">
        <f>IF(37=37,IF($U37="","",SUMPRODUCT(--ISNUMBER(SEARCH(" "&amp;$CR$2024:$CR$2038&amp;" ",$AA37)))),"")</f>
        <v>0</v>
      </c>
      <c r="BW37" s="581" t="str">
        <f>IF(37=37,IF($U37="","",IF((BU37)-(0)&gt;0,"X",IF((BV37)-(0)&gt;0,"?",""))),"")</f>
        <v/>
      </c>
      <c r="BX37" s="581">
        <f>IF(37=37,IF($U37="","",SUMPRODUCT(--ISNUMBER(SEARCH(" "&amp;$CR$2039:$CR$2057&amp;" ",$AA37)))),"")</f>
        <v>0</v>
      </c>
      <c r="BY37" s="581">
        <f>IF(37=37,IF($U37="","",SUMPRODUCT(--ISNUMBER(SEARCH(" "&amp;$CR$2058:$CR$2072&amp;" ",$AA37)))),"")</f>
        <v>0</v>
      </c>
      <c r="BZ37" s="581" t="str">
        <f>IF(37=37,IF($U37="","",IF((BX37)-(0)&gt;0,"X",IF((BY37)-(0)&gt;0,"?",""))),"")</f>
        <v/>
      </c>
      <c r="CA37" s="581">
        <f>IF(37=37,IF($U37="","",SUMPRODUCT(--ISNUMBER(SEARCH(" "&amp;$CR$2073:$CR$2093&amp;" ",$AA37)))),"")</f>
        <v>0</v>
      </c>
      <c r="CB37" s="581">
        <f>IF(37=37,IF($U37="","",SUMPRODUCT(--ISNUMBER(SEARCH(" "&amp;$CR$2094:$CR$2133&amp;" ",SUBSTITUTE(SUBSTITUTE($AA37," "&amp;$CR$1367&amp;" "," ")," "&amp;$CR$1366&amp;" "," "))))+--ISNUMBER(SEARCH("poiré",$V37))),"")</f>
        <v>0</v>
      </c>
      <c r="CC37" s="581" t="str">
        <f>IF(37=37,IF($U37="","",IF(OR(CA37&gt;0,ISNUMBER(SEARCH(" vinaigre de vin ",$AA37)),ISNUMBER(SEARCH(" vinaigre au vin ",$AA37))),"X",IF(CB37&gt;0,"?",""))),"")</f>
        <v/>
      </c>
      <c r="CD37" s="581">
        <f>IF(37=37,IF($U37="","",SUMPRODUCT(--ISNUMBER(SEARCH(" "&amp;$CR$2134:$CR$2146&amp;" ",$AA37)))),"")</f>
        <v>0</v>
      </c>
      <c r="CE37" s="581">
        <f>IF(37=37,IF($U37="","",SUMPRODUCT(--ISNUMBER(SEARCH(" "&amp;$CR$2147:$CR$2152&amp;" ",$AA37)))),"")</f>
        <v>0</v>
      </c>
      <c r="CF37" s="581" t="str">
        <f>IF(37=37,IF($U37="","",IF((CD37)-(0)&gt;0,"X",IF((CE37)-(0)&gt;0,"?",""))),"")</f>
        <v/>
      </c>
      <c r="CG37" s="581">
        <f>IF(37=37,IF($U37="","",SUMPRODUCT(--ISNUMBER(SEARCH(" "&amp;$CR$2153:$CR$2252&amp;" ",$CJ37)))),"")</f>
        <v>0</v>
      </c>
      <c r="CH37" s="581">
        <f>IF(37=37,IF($U37="","",SUMPRODUCT(--ISNUMBER(SEARCH(" "&amp;$CR$2253:$CR$2352&amp;" ",$CJ37)))),"")</f>
        <v>0</v>
      </c>
      <c r="CI37" s="581">
        <f>IF(37=37,IF($U37="","",SUMPRODUCT(--ISNUMBER(SEARCH(" "&amp;$CR$2353:$CR$2395&amp;" ",$CJ37)))),"")</f>
        <v>0</v>
      </c>
      <c r="CJ37" s="581"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levure biologique </v>
      </c>
      <c r="CK37" s="581">
        <f>IF(37=37,IF($U37="","",SUMPRODUCT(--ISNUMBER(SEARCH(" "&amp;$CR$2412:$CR$2416&amp;" ",$CJ37)))),"")</f>
        <v>0</v>
      </c>
      <c r="CL37" s="581" t="str">
        <f>IF(37=37,IF($U37="","",IF(SUM(CG37:CI37)&gt;0,"X",IF(CK37&gt;0,"?",""))),"")</f>
        <v/>
      </c>
      <c r="CM37" s="582"/>
      <c r="CN37" s="584" t="s">
        <v>2079</v>
      </c>
      <c r="CO37" s="584" t="s">
        <v>1887</v>
      </c>
      <c r="CP37" s="584" t="s">
        <v>1888</v>
      </c>
      <c r="CQ37" s="584" t="s">
        <v>2080</v>
      </c>
      <c r="CR37" s="584" t="s">
        <v>2081</v>
      </c>
      <c r="CS37" s="584" t="s">
        <v>1890</v>
      </c>
      <c r="CT37" s="584" t="s">
        <v>1891</v>
      </c>
      <c r="CU37" s="584" t="s">
        <v>1892</v>
      </c>
      <c r="CV37" s="585" t="s">
        <v>1893</v>
      </c>
    </row>
    <row r="38" spans="1:100" ht="21.95" customHeight="1" x14ac:dyDescent="0.25">
      <c r="A38" s="597">
        <v>32</v>
      </c>
      <c r="B38" s="598"/>
      <c r="C38" s="599" t="str">
        <f t="shared" si="0"/>
        <v/>
      </c>
      <c r="D38" s="600"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
      </c>
      <c r="E38" s="601" t="str">
        <f>IF(38=38,IF($B38="","",AF38),"")</f>
        <v/>
      </c>
      <c r="F38" s="601" t="str">
        <f>IF(38=38,IF($B38="","",AI38),"")</f>
        <v/>
      </c>
      <c r="G38" s="601" t="str">
        <f>IF(38=38,IF($B38="","",AM38),"")</f>
        <v/>
      </c>
      <c r="H38" s="601" t="str">
        <f>IF(38=38,IF($B38="","",AZ38),"")</f>
        <v/>
      </c>
      <c r="I38" s="601" t="str">
        <f>IF(38=38,IF($B38="","",BB38),"")</f>
        <v/>
      </c>
      <c r="J38" s="601" t="str">
        <f>IF(38=38,IF($B38="","",BF38),"")</f>
        <v/>
      </c>
      <c r="K38" s="601" t="str">
        <f>IF(38=38,IF($B38="","",BM38),"")</f>
        <v/>
      </c>
      <c r="L38" s="601" t="str">
        <f>IF(38=38,IF($B38="","",BQ38),"")</f>
        <v/>
      </c>
      <c r="M38" s="601" t="str">
        <f>IF(38=38,IF($B38="","",BT38),"")</f>
        <v/>
      </c>
      <c r="N38" s="601" t="str">
        <f>IF(38=38,IF($B38="","",BW38),"")</f>
        <v/>
      </c>
      <c r="O38" s="601" t="str">
        <f>IF(38=38,IF($B38="","",BZ38),"")</f>
        <v/>
      </c>
      <c r="P38" s="601" t="str">
        <f>IF(38=38,IF($B38="","",CC38),"")</f>
        <v/>
      </c>
      <c r="Q38" s="601" t="str">
        <f>IF(38=38,IF($B38="","",CF38),"")</f>
        <v/>
      </c>
      <c r="R38" s="601" t="str">
        <f>IF(38=38,IF($B38="","",CL38),"")</f>
        <v/>
      </c>
      <c r="S38" s="602"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581" t="str">
        <f>IF(38=38,IF($B38="","",$B38),"")</f>
        <v/>
      </c>
      <c r="V38" s="581" t="str">
        <f>IF(38=38,LOWER(CLEAN(SUBSTITUTE(SUBSTITUTE(SUBSTITUTE(SUBSTITUTE($U38,CHAR(160)," ")," "," "),CHAR(10)," "),CHAR(13)," "))),"")</f>
        <v/>
      </c>
      <c r="W38" s="581" t="str">
        <f>IF(38=38,SUBSTITUTE(SUBSTITUTE(SUBSTITUTE(SUBSTITUTE(SUBSTITUTE(SUBSTITUTE(SUBSTITUTE(SUBSTITUTE(SUBSTITUTE(SUBSTITUTE(SUBSTITUTE(SUBSTITUTE($V38,"œ","oe"),"æ","ae"),"à","a"),"á","a"),"â","a"),"ä","a"),"ã","a"),"ç","c"),"è","e"),"é","e"),"ê","e"),"ë","e"),"")</f>
        <v/>
      </c>
      <c r="X38" s="581" t="str">
        <f>IF(38=38,SUBSTITUTE(SUBSTITUTE(SUBSTITUTE(SUBSTITUTE(SUBSTITUTE(SUBSTITUTE(SUBSTITUTE(SUBSTITUTE(SUBSTITUTE(SUBSTITUTE(SUBSTITUTE(SUBSTITUTE(SUBSTITUTE(SUBSTITUTE(SUBSTITUTE(SUBSTITUTE($W38,"ì","i"),"í","i"),"î","i"),"ï","i"),"ñ","n"),"ò","o"),"ó","o"),"ô","o"),"ö","o"),"õ","o"),"ù","u"),"ú","u"),"û","u"),"ü","u"),"ý","y"),"ÿ","y"),"")</f>
        <v/>
      </c>
      <c r="Y38" s="581" t="str">
        <f>IF(38=38,SUBSTITUTE(SUBSTITUTE(SUBSTITUTE(SUBSTITUTE(SUBSTITUTE(SUBSTITUTE(SUBSTITUTE(SUBSTITUTE(SUBSTITUTE(SUBSTITUTE(SUBSTITUTE(SUBSTITUTE(SUBSTITUTE(SUBSTITUTE($X38,"’"," "),"`"," "),"–"," "),"—"," "),"-"," "),"'"," "),"/"," "),"_"," "),","," "),"."," "),"("," "),")"," "),";"," "),":"," "),"")</f>
        <v/>
      </c>
      <c r="Z38" s="581" t="str">
        <f>IF(38=38,SUBSTITUTE(SUBSTITUTE(SUBSTITUTE(SUBSTITUTE(SUBSTITUTE(SUBSTITUTE(SUBSTITUTE(SUBSTITUTE(SUBSTITUTE(SUBSTITUTE(SUBSTITUTE(SUBSTITUTE(SUBSTITUTE(SUBSTITUTE(SUBSTITUTE($Y38,"!"," "),"?"," "),"+"," "),"*"," "),"&amp;"," "),"["," "),"]"," "),"{"," "),"}"," "),"%"," "),"="," "),"\"," "),"|"," "),"&lt;"," "),"&gt;"," "),"")</f>
        <v/>
      </c>
      <c r="AA38" s="581" t="str">
        <f>IF(38=38," "&amp;TRIM(SUBSTITUTE(SUBSTITUTE(SUBSTITUTE(SUBSTITUTE(SUBSTITUTE(SUBSTITUTE($Z38,CHAR(34)," "),"  "," "),"  "," "),"  "," "),"  "," "),"  "," "))&amp;" ","")</f>
        <v xml:space="preserve">  </v>
      </c>
      <c r="AB38" s="581" t="str">
        <f>IF(38=38,IF($U38="","",SUMPRODUCT(--ISNUMBER(SEARCH(" "&amp;$CR$2:$CR$101&amp;" ",$AD38)))),"")</f>
        <v/>
      </c>
      <c r="AC38" s="581" t="str">
        <f>IF(38=38,IF($U38="","",SUMPRODUCT(--ISNUMBER(SEARCH(" "&amp;$CR$102:$CR$151&amp;" ",$AD38)))),"")</f>
        <v/>
      </c>
      <c r="AD38" s="581"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38" s="581" t="str">
        <f>IF(38=38,IF($U38="","",SUMPRODUCT(--ISNUMBER(SEARCH(" "&amp;$CR$184:$CR$205&amp;" ",$AD38)))),"")</f>
        <v/>
      </c>
      <c r="AF38" s="581" t="str">
        <f>IF(38=38,IF($U38="","",IF(SUM(AB38:AC38)+SUMPRODUCT(--ISNUMBER(SEARCH(" "&amp;$CR$2418:$CR$2420&amp;" ",$AD38)))&gt;0,"X",IF(AE38&gt;0,"?",""))),"")</f>
        <v/>
      </c>
      <c r="AG38" s="581" t="str">
        <f>IF(38=38,IF($U38="","",SUMPRODUCT(--ISNUMBER(SEARCH(" "&amp;$CR$206:$CR$305&amp;" ",$AA38)))),"")</f>
        <v/>
      </c>
      <c r="AH38" s="581" t="str">
        <f>IF(38=38,IF($U38="","",SUMPRODUCT(--ISNUMBER(SEARCH(" "&amp;$CR$306:$CR$340&amp;" ",$AA38)))),"")</f>
        <v/>
      </c>
      <c r="AI38" s="581" t="str">
        <f>IF(38=38,IF($U38="","",IF((SUM(AG38:AH38))-(0)&gt;0,"X",IF((0)-(0)&gt;0,"?",""))),"")</f>
        <v/>
      </c>
      <c r="AJ38" s="581" t="str">
        <f>IF(38=38,IF($U38="","",SUMPRODUCT(--ISNUMBER(SEARCH(" "&amp;$CR$341:$CR$398&amp;" ",$AA38)))),"")</f>
        <v/>
      </c>
      <c r="AK38" s="581" t="str">
        <f>IF(38=38,IF($U38="","",SUMPRODUCT(--ISNUMBER(SEARCH(" "&amp;$CR$399:$CR$426&amp;" ",$AL38)))+SUMPRODUCT(--ISNUMBER(SEARCH(" "&amp;$CR$2440:$CR$2453&amp;" ",$AL38)))),"")</f>
        <v/>
      </c>
      <c r="AL38" s="581" t="str">
        <f>IF(38=38,IF($U38="","",SUBSTITUTE(SUBSTITUTE(SUBSTITUTE(SUBSTITUTE(SUBSTITUTE(SUBSTITUTE(SUBSTITUTE(SUBSTITUTE(SUBSTITUTE(SUBSTITUTE(SUBSTITUTE(SUBSTITUTE(SUBSTITUTE($AA38," "&amp;$CR$433&amp;" "," ")," "&amp;$CR$431&amp;" "," ")," "&amp;$CR$2438&amp;" "," ")," "&amp;$CR$2439&amp;" "," ")," "&amp;$CR$428&amp;" "," ")," "&amp;$CR$432&amp;" "," ")," "&amp;$CR$434&amp;" "," ")," "&amp;$CR$429&amp;" "," ")," "&amp;$CR$427&amp;" "," ")," "&amp;$CR$1367&amp;" "," ")," "&amp;$CR$435&amp;" "," ")," "&amp;$CR$1366&amp;" "," ")," "&amp;$CR$430&amp;" "," ")),"")</f>
        <v/>
      </c>
      <c r="AM38" s="581" t="str">
        <f>IF(38=38,IF($U38="","",IF(AJ38&gt;0,"X",IF(AK38&gt;0,"?",""))),"")</f>
        <v/>
      </c>
      <c r="AN38" s="581" t="str">
        <f>IF(38=38,IF($U38="","",SUMPRODUCT(--ISNUMBER(SEARCH(" "&amp;$CR$436:$CR$535&amp;" ",$AX38)))),"")</f>
        <v/>
      </c>
      <c r="AO38" s="581" t="str">
        <f>IF(38=38,IF($U38="","",SUMPRODUCT(--ISNUMBER(SEARCH(" "&amp;$CR$536:$CR$635&amp;" ",$AX38)))),"")</f>
        <v/>
      </c>
      <c r="AP38" s="581" t="str">
        <f>IF(38=38,IF($U38="","",SUMPRODUCT(--ISNUMBER(SEARCH(" "&amp;$CR$636:$CR$735&amp;" ",$AX38)))),"")</f>
        <v/>
      </c>
      <c r="AQ38" s="581" t="str">
        <f>IF(38=38,IF($U38="","",SUMPRODUCT(--ISNUMBER(SEARCH(" "&amp;$CR$736:$CR$835&amp;" ",$AX38)))),"")</f>
        <v/>
      </c>
      <c r="AR38" s="581" t="str">
        <f>IF(38=38,IF($U38="","",SUMPRODUCT(--ISNUMBER(SEARCH(" "&amp;$CR$836:$CR$935&amp;" ",$AX38)))),"")</f>
        <v/>
      </c>
      <c r="AS38" s="581" t="str">
        <f>IF(38=38,IF($U38="","",SUMPRODUCT(--ISNUMBER(SEARCH(" "&amp;$CR$936:$CR$1035&amp;" ",$AX38)))),"")</f>
        <v/>
      </c>
      <c r="AT38" s="581" t="str">
        <f>IF(38=38,IF($U38="","",SUMPRODUCT(--ISNUMBER(SEARCH(" "&amp;$CR$1036:$CR$1135&amp;" ",$AX38)))),"")</f>
        <v/>
      </c>
      <c r="AU38" s="581" t="str">
        <f>IF(38=38,IF($U38="","",SUMPRODUCT(--ISNUMBER(SEARCH(" "&amp;$CR$1136:$CR$1235&amp;" ",$AX38)))),"")</f>
        <v/>
      </c>
      <c r="AV38" s="581" t="str">
        <f>IF(38=38,IF($U38="","",SUMPRODUCT(--ISNUMBER(SEARCH(" "&amp;$CR$1236:$CR$1335&amp;" ",$AX38)))),"")</f>
        <v/>
      </c>
      <c r="AW38" s="581" t="str">
        <f>IF(38=38,IF($U38="","",SUMPRODUCT(--ISNUMBER(SEARCH(" "&amp;$CR$1336:$CR$1363&amp;" ",$AX38)))),"")</f>
        <v/>
      </c>
      <c r="AX38" s="581" t="str">
        <f>IF(38=38,IF($U38="","",SUBSTITUTE(SUBSTITUTE(SUBSTITUTE(SUBSTITUTE(SUBSTITUTE(SUBSTITUTE(SUBSTITUTE(SUBSTITUTE(SUBSTITUTE($AA38," "&amp;$CR$1365&amp;" "," ")," "&amp;$CR$1364&amp;" "," ")," "&amp;$CR$1370&amp;" "," ")," "&amp;$CR$1371&amp;" "," ")," "&amp;$CR$1367&amp;" "," ")," "&amp;$CR$1369&amp;" "," ")," "&amp;$CR$1366&amp;" "," ")," "&amp;$CR$1368&amp;" "," ")," "&amp;$CR$1372&amp;" "," ")),"")</f>
        <v/>
      </c>
      <c r="AY38" s="581" t="str">
        <f>IF(38=38,IF($U38="","",SUMPRODUCT(--ISNUMBER(SEARCH(" "&amp;$CR$1373:$CR$1383&amp;" ",$AX38)))),"")</f>
        <v/>
      </c>
      <c r="AZ38" s="581" t="str">
        <f>IF(38=38,IF($U38="","",IF(SUM(AN38:AW38)+SUMPRODUCT(--ISNUMBER(SEARCH(" "&amp;$CR$2421:$CR$2422&amp;" ",$AX38)))&gt;0,"X",IF(AY38&gt;0,"?",""))),"")</f>
        <v/>
      </c>
      <c r="BA38" s="581" t="str">
        <f>IF(38=38,IF($U38="","",SUMPRODUCT(--ISNUMBER(SEARCH(" "&amp;$CR$1384:$CR$1404&amp;" ",$AA38)))),"")</f>
        <v/>
      </c>
      <c r="BB38" s="581" t="str">
        <f>IF(38=38,IF($U38="","",IF((BA38)-(0)&gt;0,"X",IF((0)-(0)&gt;0,"?",""))),"")</f>
        <v/>
      </c>
      <c r="BC38" s="581" t="str">
        <f>IF(38=38,IF($U38="","",SUMPRODUCT(--ISNUMBER(SEARCH(" "&amp;$CR$1405:$CR$1442&amp;" ",$BD38)))),"")</f>
        <v/>
      </c>
      <c r="BD38" s="581" t="str">
        <f>IF(38=38,IF($U38="","",SUBSTITUTE(SUBSTITUTE($AA38," "&amp;$CR$1443&amp;" "," ")," "&amp;$CR$1444&amp;" "," ")),"")</f>
        <v/>
      </c>
      <c r="BE38" s="581" t="str">
        <f>IF(38=38,IF($U38="","",SUMPRODUCT(--ISNUMBER(SEARCH(" "&amp;$CR$1445:$CR$1455&amp;" ",$BD38)))),"")</f>
        <v/>
      </c>
      <c r="BF38" s="581" t="str">
        <f>IF(38=38,IF($U38="","",IF(BC38&gt;0,"X",IF(BE38&gt;0,"?",""))),"")</f>
        <v/>
      </c>
      <c r="BG38" s="581" t="str">
        <f>IF(38=38,IF($U38="","",SUMPRODUCT(--ISNUMBER(SEARCH(" "&amp;$CR$1456:$CR$1555&amp;" ",$BJ38)))),"")</f>
        <v/>
      </c>
      <c r="BH38" s="581" t="str">
        <f>IF(38=38,IF($U38="","",SUMPRODUCT(--ISNUMBER(SEARCH(" "&amp;$CR$1556:$CR$1655&amp;" ",$BJ38)))),"")</f>
        <v/>
      </c>
      <c r="BI38" s="581" t="str">
        <f>IF(38=38,IF($U38="","",SUMPRODUCT(--ISNUMBER(SEARCH(" "&amp;$CR$1656:$CR$1739&amp;" ",$BJ38)))),"")</f>
        <v/>
      </c>
      <c r="BJ38" s="581"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38" s="581" t="str">
        <f>IF(38=38,IF($U38="","",SUMPRODUCT(--ISNUMBER(SEARCH(" "&amp;$CR$1790:$CR$1869&amp;" ",$BL38)))+SUMPRODUCT(--ISNUMBER(SEARCH(" "&amp;$CR$2440:$CR$2453&amp;" ",$BL38)))),"")</f>
        <v/>
      </c>
      <c r="BL38" s="581"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c>
      <c r="BM38" s="581" t="str">
        <f>IF(38=38,IF($U38="","",IF(SUM(BG38:BI38)+SUMPRODUCT(--ISNUMBER(SEARCH(" "&amp;$CR$2423:$CR$2424&amp;" ",$BJ38)))&gt;0,"X",IF(BK38&gt;0,"?",""))),"")</f>
        <v/>
      </c>
      <c r="BN38" s="581" t="str">
        <f>IF(38=38,IF($U38="","",SUMPRODUCT(--ISNUMBER(SEARCH(" "&amp;$CR$1879:$CR$1936&amp;" ",$BO38)))),"")</f>
        <v/>
      </c>
      <c r="BO38" s="581"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38" s="581" t="str">
        <f>IF(38=38,IF($U38="","",SUMPRODUCT(--ISNUMBER(SEARCH(" "&amp;$CR$1960:$CR$1976&amp;" ",$BO38)))),"")</f>
        <v/>
      </c>
      <c r="BQ38" s="581" t="str">
        <f>IF(38=38,IF($U38="","",IF(BN38&gt;0,"X",IF(BP38&gt;0,"?",""))),"")</f>
        <v/>
      </c>
      <c r="BR38" s="581" t="str">
        <f>IF(38=38,IF($U38="","",SUMPRODUCT(--ISNUMBER(SEARCH(" "&amp;$CR$1977:$CR$1990&amp;" ",$AA38)))),"")</f>
        <v/>
      </c>
      <c r="BS38" s="581" t="str">
        <f>IF(38=38,IF($U38="","",SUMPRODUCT(--ISNUMBER(SEARCH(" "&amp;$CR$1991:$CR$2005&amp;" ",$AA38)))),"")</f>
        <v/>
      </c>
      <c r="BT38" s="581" t="str">
        <f>IF(38=38,IF($U38="","",IF((BR38)-(0)&gt;0,"X",IF((BS38)-(0)&gt;0,"?",""))),"")</f>
        <v/>
      </c>
      <c r="BU38" s="581" t="str">
        <f>IF(38=38,IF($U38="","",SUMPRODUCT(--ISNUMBER(SEARCH(" "&amp;$CR$2006:$CR$2023&amp;" ",$AA38)))),"")</f>
        <v/>
      </c>
      <c r="BV38" s="581" t="str">
        <f>IF(38=38,IF($U38="","",SUMPRODUCT(--ISNUMBER(SEARCH(" "&amp;$CR$2024:$CR$2038&amp;" ",$AA38)))),"")</f>
        <v/>
      </c>
      <c r="BW38" s="581" t="str">
        <f>IF(38=38,IF($U38="","",IF((BU38)-(0)&gt;0,"X",IF((BV38)-(0)&gt;0,"?",""))),"")</f>
        <v/>
      </c>
      <c r="BX38" s="581" t="str">
        <f>IF(38=38,IF($U38="","",SUMPRODUCT(--ISNUMBER(SEARCH(" "&amp;$CR$2039:$CR$2057&amp;" ",$AA38)))),"")</f>
        <v/>
      </c>
      <c r="BY38" s="581" t="str">
        <f>IF(38=38,IF($U38="","",SUMPRODUCT(--ISNUMBER(SEARCH(" "&amp;$CR$2058:$CR$2072&amp;" ",$AA38)))),"")</f>
        <v/>
      </c>
      <c r="BZ38" s="581" t="str">
        <f>IF(38=38,IF($U38="","",IF((BX38)-(0)&gt;0,"X",IF((BY38)-(0)&gt;0,"?",""))),"")</f>
        <v/>
      </c>
      <c r="CA38" s="581" t="str">
        <f>IF(38=38,IF($U38="","",SUMPRODUCT(--ISNUMBER(SEARCH(" "&amp;$CR$2073:$CR$2093&amp;" ",$AA38)))),"")</f>
        <v/>
      </c>
      <c r="CB38" s="581" t="str">
        <f>IF(38=38,IF($U38="","",SUMPRODUCT(--ISNUMBER(SEARCH(" "&amp;$CR$2094:$CR$2133&amp;" ",SUBSTITUTE(SUBSTITUTE($AA38," "&amp;$CR$1367&amp;" "," ")," "&amp;$CR$1366&amp;" "," "))))+--ISNUMBER(SEARCH("poiré",$V38))),"")</f>
        <v/>
      </c>
      <c r="CC38" s="581" t="str">
        <f>IF(38=38,IF($U38="","",IF(OR(CA38&gt;0,ISNUMBER(SEARCH(" vinaigre de vin ",$AA38)),ISNUMBER(SEARCH(" vinaigre au vin ",$AA38))),"X",IF(CB38&gt;0,"?",""))),"")</f>
        <v/>
      </c>
      <c r="CD38" s="581" t="str">
        <f>IF(38=38,IF($U38="","",SUMPRODUCT(--ISNUMBER(SEARCH(" "&amp;$CR$2134:$CR$2146&amp;" ",$AA38)))),"")</f>
        <v/>
      </c>
      <c r="CE38" s="581" t="str">
        <f>IF(38=38,IF($U38="","",SUMPRODUCT(--ISNUMBER(SEARCH(" "&amp;$CR$2147:$CR$2152&amp;" ",$AA38)))),"")</f>
        <v/>
      </c>
      <c r="CF38" s="581" t="str">
        <f>IF(38=38,IF($U38="","",IF((CD38)-(0)&gt;0,"X",IF((CE38)-(0)&gt;0,"?",""))),"")</f>
        <v/>
      </c>
      <c r="CG38" s="581" t="str">
        <f>IF(38=38,IF($U38="","",SUMPRODUCT(--ISNUMBER(SEARCH(" "&amp;$CR$2153:$CR$2252&amp;" ",$CJ38)))),"")</f>
        <v/>
      </c>
      <c r="CH38" s="581" t="str">
        <f>IF(38=38,IF($U38="","",SUMPRODUCT(--ISNUMBER(SEARCH(" "&amp;$CR$2253:$CR$2352&amp;" ",$CJ38)))),"")</f>
        <v/>
      </c>
      <c r="CI38" s="581" t="str">
        <f>IF(38=38,IF($U38="","",SUMPRODUCT(--ISNUMBER(SEARCH(" "&amp;$CR$2353:$CR$2395&amp;" ",$CJ38)))),"")</f>
        <v/>
      </c>
      <c r="CJ38" s="581"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c>
      <c r="CK38" s="581" t="str">
        <f>IF(38=38,IF($U38="","",SUMPRODUCT(--ISNUMBER(SEARCH(" "&amp;$CR$2412:$CR$2416&amp;" ",$CJ38)))),"")</f>
        <v/>
      </c>
      <c r="CL38" s="581" t="str">
        <f>IF(38=38,IF($U38="","",IF(SUM(CG38:CI38)&gt;0,"X",IF(CK38&gt;0,"?",""))),"")</f>
        <v/>
      </c>
      <c r="CM38" s="582"/>
      <c r="CN38" s="584" t="s">
        <v>2082</v>
      </c>
      <c r="CO38" s="584" t="s">
        <v>1887</v>
      </c>
      <c r="CP38" s="584" t="s">
        <v>1888</v>
      </c>
      <c r="CQ38" s="584" t="s">
        <v>2083</v>
      </c>
      <c r="CR38" s="584" t="s">
        <v>2083</v>
      </c>
      <c r="CS38" s="584" t="s">
        <v>1890</v>
      </c>
      <c r="CT38" s="584" t="s">
        <v>1891</v>
      </c>
      <c r="CU38" s="584" t="s">
        <v>1892</v>
      </c>
      <c r="CV38" s="585" t="s">
        <v>1893</v>
      </c>
    </row>
    <row r="39" spans="1:100" ht="21.95" customHeight="1" x14ac:dyDescent="0.25">
      <c r="A39" s="597">
        <v>33</v>
      </c>
      <c r="B39" s="598"/>
      <c r="C39" s="599" t="str">
        <f t="shared" si="0"/>
        <v/>
      </c>
      <c r="D39" s="600"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601" t="str">
        <f>IF(39=39,IF($B39="","",AF39),"")</f>
        <v/>
      </c>
      <c r="F39" s="601" t="str">
        <f>IF(39=39,IF($B39="","",AI39),"")</f>
        <v/>
      </c>
      <c r="G39" s="601" t="str">
        <f>IF(39=39,IF($B39="","",AM39),"")</f>
        <v/>
      </c>
      <c r="H39" s="601" t="str">
        <f>IF(39=39,IF($B39="","",AZ39),"")</f>
        <v/>
      </c>
      <c r="I39" s="601" t="str">
        <f>IF(39=39,IF($B39="","",BB39),"")</f>
        <v/>
      </c>
      <c r="J39" s="601" t="str">
        <f>IF(39=39,IF($B39="","",BF39),"")</f>
        <v/>
      </c>
      <c r="K39" s="601" t="str">
        <f>IF(39=39,IF($B39="","",BM39),"")</f>
        <v/>
      </c>
      <c r="L39" s="601" t="str">
        <f>IF(39=39,IF($B39="","",BQ39),"")</f>
        <v/>
      </c>
      <c r="M39" s="601" t="str">
        <f>IF(39=39,IF($B39="","",BT39),"")</f>
        <v/>
      </c>
      <c r="N39" s="601" t="str">
        <f>IF(39=39,IF($B39="","",BW39),"")</f>
        <v/>
      </c>
      <c r="O39" s="601" t="str">
        <f>IF(39=39,IF($B39="","",BZ39),"")</f>
        <v/>
      </c>
      <c r="P39" s="601" t="str">
        <f>IF(39=39,IF($B39="","",CC39),"")</f>
        <v/>
      </c>
      <c r="Q39" s="601" t="str">
        <f>IF(39=39,IF($B39="","",CF39),"")</f>
        <v/>
      </c>
      <c r="R39" s="601" t="str">
        <f>IF(39=39,IF($B39="","",CL39),"")</f>
        <v/>
      </c>
      <c r="S39" s="602"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581" t="str">
        <f>IF(39=39,IF($B39="","",$B39),"")</f>
        <v/>
      </c>
      <c r="V39" s="581" t="str">
        <f>IF(39=39,LOWER(CLEAN(SUBSTITUTE(SUBSTITUTE(SUBSTITUTE(SUBSTITUTE($U39,CHAR(160)," ")," "," "),CHAR(10)," "),CHAR(13)," "))),"")</f>
        <v/>
      </c>
      <c r="W39" s="581" t="str">
        <f>IF(39=39,SUBSTITUTE(SUBSTITUTE(SUBSTITUTE(SUBSTITUTE(SUBSTITUTE(SUBSTITUTE(SUBSTITUTE(SUBSTITUTE(SUBSTITUTE(SUBSTITUTE(SUBSTITUTE(SUBSTITUTE($V39,"œ","oe"),"æ","ae"),"à","a"),"á","a"),"â","a"),"ä","a"),"ã","a"),"ç","c"),"è","e"),"é","e"),"ê","e"),"ë","e"),"")</f>
        <v/>
      </c>
      <c r="X39" s="581" t="str">
        <f>IF(39=39,SUBSTITUTE(SUBSTITUTE(SUBSTITUTE(SUBSTITUTE(SUBSTITUTE(SUBSTITUTE(SUBSTITUTE(SUBSTITUTE(SUBSTITUTE(SUBSTITUTE(SUBSTITUTE(SUBSTITUTE(SUBSTITUTE(SUBSTITUTE(SUBSTITUTE(SUBSTITUTE($W39,"ì","i"),"í","i"),"î","i"),"ï","i"),"ñ","n"),"ò","o"),"ó","o"),"ô","o"),"ö","o"),"õ","o"),"ù","u"),"ú","u"),"û","u"),"ü","u"),"ý","y"),"ÿ","y"),"")</f>
        <v/>
      </c>
      <c r="Y39" s="581" t="str">
        <f>IF(39=39,SUBSTITUTE(SUBSTITUTE(SUBSTITUTE(SUBSTITUTE(SUBSTITUTE(SUBSTITUTE(SUBSTITUTE(SUBSTITUTE(SUBSTITUTE(SUBSTITUTE(SUBSTITUTE(SUBSTITUTE(SUBSTITUTE(SUBSTITUTE($X39,"’"," "),"`"," "),"–"," "),"—"," "),"-"," "),"'"," "),"/"," "),"_"," "),","," "),"."," "),"("," "),")"," "),";"," "),":"," "),"")</f>
        <v/>
      </c>
      <c r="Z39" s="581" t="str">
        <f>IF(39=39,SUBSTITUTE(SUBSTITUTE(SUBSTITUTE(SUBSTITUTE(SUBSTITUTE(SUBSTITUTE(SUBSTITUTE(SUBSTITUTE(SUBSTITUTE(SUBSTITUTE(SUBSTITUTE(SUBSTITUTE(SUBSTITUTE(SUBSTITUTE(SUBSTITUTE($Y39,"!"," "),"?"," "),"+"," "),"*"," "),"&amp;"," "),"["," "),"]"," "),"{"," "),"}"," "),"%"," "),"="," "),"\"," "),"|"," "),"&lt;"," "),"&gt;"," "),"")</f>
        <v/>
      </c>
      <c r="AA39" s="581" t="str">
        <f>IF(39=39," "&amp;TRIM(SUBSTITUTE(SUBSTITUTE(SUBSTITUTE(SUBSTITUTE(SUBSTITUTE(SUBSTITUTE($Z39,CHAR(34)," "),"  "," "),"  "," "),"  "," "),"  "," "),"  "," "))&amp;" ","")</f>
        <v xml:space="preserve">  </v>
      </c>
      <c r="AB39" s="581" t="str">
        <f>IF(39=39,IF($U39="","",SUMPRODUCT(--ISNUMBER(SEARCH(" "&amp;$CR$2:$CR$101&amp;" ",$AD39)))),"")</f>
        <v/>
      </c>
      <c r="AC39" s="581" t="str">
        <f>IF(39=39,IF($U39="","",SUMPRODUCT(--ISNUMBER(SEARCH(" "&amp;$CR$102:$CR$151&amp;" ",$AD39)))),"")</f>
        <v/>
      </c>
      <c r="AD39" s="581"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39" s="581" t="str">
        <f>IF(39=39,IF($U39="","",SUMPRODUCT(--ISNUMBER(SEARCH(" "&amp;$CR$184:$CR$205&amp;" ",$AD39)))),"")</f>
        <v/>
      </c>
      <c r="AF39" s="581" t="str">
        <f>IF(39=39,IF($U39="","",IF(SUM(AB39:AC39)+SUMPRODUCT(--ISNUMBER(SEARCH(" "&amp;$CR$2418:$CR$2420&amp;" ",$AD39)))&gt;0,"X",IF(AE39&gt;0,"?",""))),"")</f>
        <v/>
      </c>
      <c r="AG39" s="581" t="str">
        <f>IF(39=39,IF($U39="","",SUMPRODUCT(--ISNUMBER(SEARCH(" "&amp;$CR$206:$CR$305&amp;" ",$AA39)))),"")</f>
        <v/>
      </c>
      <c r="AH39" s="581" t="str">
        <f>IF(39=39,IF($U39="","",SUMPRODUCT(--ISNUMBER(SEARCH(" "&amp;$CR$306:$CR$340&amp;" ",$AA39)))),"")</f>
        <v/>
      </c>
      <c r="AI39" s="581" t="str">
        <f>IF(39=39,IF($U39="","",IF((SUM(AG39:AH39))-(0)&gt;0,"X",IF((0)-(0)&gt;0,"?",""))),"")</f>
        <v/>
      </c>
      <c r="AJ39" s="581" t="str">
        <f>IF(39=39,IF($U39="","",SUMPRODUCT(--ISNUMBER(SEARCH(" "&amp;$CR$341:$CR$398&amp;" ",$AA39)))),"")</f>
        <v/>
      </c>
      <c r="AK39" s="581" t="str">
        <f>IF(39=39,IF($U39="","",SUMPRODUCT(--ISNUMBER(SEARCH(" "&amp;$CR$399:$CR$426&amp;" ",$AL39)))+SUMPRODUCT(--ISNUMBER(SEARCH(" "&amp;$CR$2440:$CR$2453&amp;" ",$AL39)))),"")</f>
        <v/>
      </c>
      <c r="AL39" s="581" t="str">
        <f>IF(39=39,IF($U39="","",SUBSTITUTE(SUBSTITUTE(SUBSTITUTE(SUBSTITUTE(SUBSTITUTE(SUBSTITUTE(SUBSTITUTE(SUBSTITUTE(SUBSTITUTE(SUBSTITUTE(SUBSTITUTE(SUBSTITUTE(SUBSTITUTE($AA39," "&amp;$CR$433&amp;" "," ")," "&amp;$CR$431&amp;" "," ")," "&amp;$CR$2438&amp;" "," ")," "&amp;$CR$2439&amp;" "," ")," "&amp;$CR$428&amp;" "," ")," "&amp;$CR$432&amp;" "," ")," "&amp;$CR$434&amp;" "," ")," "&amp;$CR$429&amp;" "," ")," "&amp;$CR$427&amp;" "," ")," "&amp;$CR$1367&amp;" "," ")," "&amp;$CR$435&amp;" "," ")," "&amp;$CR$1366&amp;" "," ")," "&amp;$CR$430&amp;" "," ")),"")</f>
        <v/>
      </c>
      <c r="AM39" s="581" t="str">
        <f>IF(39=39,IF($U39="","",IF(AJ39&gt;0,"X",IF(AK39&gt;0,"?",""))),"")</f>
        <v/>
      </c>
      <c r="AN39" s="581" t="str">
        <f>IF(39=39,IF($U39="","",SUMPRODUCT(--ISNUMBER(SEARCH(" "&amp;$CR$436:$CR$535&amp;" ",$AX39)))),"")</f>
        <v/>
      </c>
      <c r="AO39" s="581" t="str">
        <f>IF(39=39,IF($U39="","",SUMPRODUCT(--ISNUMBER(SEARCH(" "&amp;$CR$536:$CR$635&amp;" ",$AX39)))),"")</f>
        <v/>
      </c>
      <c r="AP39" s="581" t="str">
        <f>IF(39=39,IF($U39="","",SUMPRODUCT(--ISNUMBER(SEARCH(" "&amp;$CR$636:$CR$735&amp;" ",$AX39)))),"")</f>
        <v/>
      </c>
      <c r="AQ39" s="581" t="str">
        <f>IF(39=39,IF($U39="","",SUMPRODUCT(--ISNUMBER(SEARCH(" "&amp;$CR$736:$CR$835&amp;" ",$AX39)))),"")</f>
        <v/>
      </c>
      <c r="AR39" s="581" t="str">
        <f>IF(39=39,IF($U39="","",SUMPRODUCT(--ISNUMBER(SEARCH(" "&amp;$CR$836:$CR$935&amp;" ",$AX39)))),"")</f>
        <v/>
      </c>
      <c r="AS39" s="581" t="str">
        <f>IF(39=39,IF($U39="","",SUMPRODUCT(--ISNUMBER(SEARCH(" "&amp;$CR$936:$CR$1035&amp;" ",$AX39)))),"")</f>
        <v/>
      </c>
      <c r="AT39" s="581" t="str">
        <f>IF(39=39,IF($U39="","",SUMPRODUCT(--ISNUMBER(SEARCH(" "&amp;$CR$1036:$CR$1135&amp;" ",$AX39)))),"")</f>
        <v/>
      </c>
      <c r="AU39" s="581" t="str">
        <f>IF(39=39,IF($U39="","",SUMPRODUCT(--ISNUMBER(SEARCH(" "&amp;$CR$1136:$CR$1235&amp;" ",$AX39)))),"")</f>
        <v/>
      </c>
      <c r="AV39" s="581" t="str">
        <f>IF(39=39,IF($U39="","",SUMPRODUCT(--ISNUMBER(SEARCH(" "&amp;$CR$1236:$CR$1335&amp;" ",$AX39)))),"")</f>
        <v/>
      </c>
      <c r="AW39" s="581" t="str">
        <f>IF(39=39,IF($U39="","",SUMPRODUCT(--ISNUMBER(SEARCH(" "&amp;$CR$1336:$CR$1363&amp;" ",$AX39)))),"")</f>
        <v/>
      </c>
      <c r="AX39" s="581" t="str">
        <f>IF(39=39,IF($U39="","",SUBSTITUTE(SUBSTITUTE(SUBSTITUTE(SUBSTITUTE(SUBSTITUTE(SUBSTITUTE(SUBSTITUTE(SUBSTITUTE(SUBSTITUTE($AA39," "&amp;$CR$1365&amp;" "," ")," "&amp;$CR$1364&amp;" "," ")," "&amp;$CR$1370&amp;" "," ")," "&amp;$CR$1371&amp;" "," ")," "&amp;$CR$1367&amp;" "," ")," "&amp;$CR$1369&amp;" "," ")," "&amp;$CR$1366&amp;" "," ")," "&amp;$CR$1368&amp;" "," ")," "&amp;$CR$1372&amp;" "," ")),"")</f>
        <v/>
      </c>
      <c r="AY39" s="581" t="str">
        <f>IF(39=39,IF($U39="","",SUMPRODUCT(--ISNUMBER(SEARCH(" "&amp;$CR$1373:$CR$1383&amp;" ",$AX39)))),"")</f>
        <v/>
      </c>
      <c r="AZ39" s="581" t="str">
        <f>IF(39=39,IF($U39="","",IF(SUM(AN39:AW39)+SUMPRODUCT(--ISNUMBER(SEARCH(" "&amp;$CR$2421:$CR$2422&amp;" ",$AX39)))&gt;0,"X",IF(AY39&gt;0,"?",""))),"")</f>
        <v/>
      </c>
      <c r="BA39" s="581" t="str">
        <f>IF(39=39,IF($U39="","",SUMPRODUCT(--ISNUMBER(SEARCH(" "&amp;$CR$1384:$CR$1404&amp;" ",$AA39)))),"")</f>
        <v/>
      </c>
      <c r="BB39" s="581" t="str">
        <f>IF(39=39,IF($U39="","",IF((BA39)-(0)&gt;0,"X",IF((0)-(0)&gt;0,"?",""))),"")</f>
        <v/>
      </c>
      <c r="BC39" s="581" t="str">
        <f>IF(39=39,IF($U39="","",SUMPRODUCT(--ISNUMBER(SEARCH(" "&amp;$CR$1405:$CR$1442&amp;" ",$BD39)))),"")</f>
        <v/>
      </c>
      <c r="BD39" s="581" t="str">
        <f>IF(39=39,IF($U39="","",SUBSTITUTE(SUBSTITUTE($AA39," "&amp;$CR$1443&amp;" "," ")," "&amp;$CR$1444&amp;" "," ")),"")</f>
        <v/>
      </c>
      <c r="BE39" s="581" t="str">
        <f>IF(39=39,IF($U39="","",SUMPRODUCT(--ISNUMBER(SEARCH(" "&amp;$CR$1445:$CR$1455&amp;" ",$BD39)))),"")</f>
        <v/>
      </c>
      <c r="BF39" s="581" t="str">
        <f>IF(39=39,IF($U39="","",IF(BC39&gt;0,"X",IF(BE39&gt;0,"?",""))),"")</f>
        <v/>
      </c>
      <c r="BG39" s="581" t="str">
        <f>IF(39=39,IF($U39="","",SUMPRODUCT(--ISNUMBER(SEARCH(" "&amp;$CR$1456:$CR$1555&amp;" ",$BJ39)))),"")</f>
        <v/>
      </c>
      <c r="BH39" s="581" t="str">
        <f>IF(39=39,IF($U39="","",SUMPRODUCT(--ISNUMBER(SEARCH(" "&amp;$CR$1556:$CR$1655&amp;" ",$BJ39)))),"")</f>
        <v/>
      </c>
      <c r="BI39" s="581" t="str">
        <f>IF(39=39,IF($U39="","",SUMPRODUCT(--ISNUMBER(SEARCH(" "&amp;$CR$1656:$CR$1739&amp;" ",$BJ39)))),"")</f>
        <v/>
      </c>
      <c r="BJ39" s="581"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39" s="581" t="str">
        <f>IF(39=39,IF($U39="","",SUMPRODUCT(--ISNUMBER(SEARCH(" "&amp;$CR$1790:$CR$1869&amp;" ",$BL39)))+SUMPRODUCT(--ISNUMBER(SEARCH(" "&amp;$CR$2440:$CR$2453&amp;" ",$BL39)))),"")</f>
        <v/>
      </c>
      <c r="BL39" s="581"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c>
      <c r="BM39" s="581" t="str">
        <f>IF(39=39,IF($U39="","",IF(SUM(BG39:BI39)+SUMPRODUCT(--ISNUMBER(SEARCH(" "&amp;$CR$2423:$CR$2424&amp;" ",$BJ39)))&gt;0,"X",IF(BK39&gt;0,"?",""))),"")</f>
        <v/>
      </c>
      <c r="BN39" s="581" t="str">
        <f>IF(39=39,IF($U39="","",SUMPRODUCT(--ISNUMBER(SEARCH(" "&amp;$CR$1879:$CR$1936&amp;" ",$BO39)))),"")</f>
        <v/>
      </c>
      <c r="BO39" s="581"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39" s="581" t="str">
        <f>IF(39=39,IF($U39="","",SUMPRODUCT(--ISNUMBER(SEARCH(" "&amp;$CR$1960:$CR$1976&amp;" ",$BO39)))),"")</f>
        <v/>
      </c>
      <c r="BQ39" s="581" t="str">
        <f>IF(39=39,IF($U39="","",IF(BN39&gt;0,"X",IF(BP39&gt;0,"?",""))),"")</f>
        <v/>
      </c>
      <c r="BR39" s="581" t="str">
        <f>IF(39=39,IF($U39="","",SUMPRODUCT(--ISNUMBER(SEARCH(" "&amp;$CR$1977:$CR$1990&amp;" ",$AA39)))),"")</f>
        <v/>
      </c>
      <c r="BS39" s="581" t="str">
        <f>IF(39=39,IF($U39="","",SUMPRODUCT(--ISNUMBER(SEARCH(" "&amp;$CR$1991:$CR$2005&amp;" ",$AA39)))),"")</f>
        <v/>
      </c>
      <c r="BT39" s="581" t="str">
        <f>IF(39=39,IF($U39="","",IF((BR39)-(0)&gt;0,"X",IF((BS39)-(0)&gt;0,"?",""))),"")</f>
        <v/>
      </c>
      <c r="BU39" s="581" t="str">
        <f>IF(39=39,IF($U39="","",SUMPRODUCT(--ISNUMBER(SEARCH(" "&amp;$CR$2006:$CR$2023&amp;" ",$AA39)))),"")</f>
        <v/>
      </c>
      <c r="BV39" s="581" t="str">
        <f>IF(39=39,IF($U39="","",SUMPRODUCT(--ISNUMBER(SEARCH(" "&amp;$CR$2024:$CR$2038&amp;" ",$AA39)))),"")</f>
        <v/>
      </c>
      <c r="BW39" s="581" t="str">
        <f>IF(39=39,IF($U39="","",IF((BU39)-(0)&gt;0,"X",IF((BV39)-(0)&gt;0,"?",""))),"")</f>
        <v/>
      </c>
      <c r="BX39" s="581" t="str">
        <f>IF(39=39,IF($U39="","",SUMPRODUCT(--ISNUMBER(SEARCH(" "&amp;$CR$2039:$CR$2057&amp;" ",$AA39)))),"")</f>
        <v/>
      </c>
      <c r="BY39" s="581" t="str">
        <f>IF(39=39,IF($U39="","",SUMPRODUCT(--ISNUMBER(SEARCH(" "&amp;$CR$2058:$CR$2072&amp;" ",$AA39)))),"")</f>
        <v/>
      </c>
      <c r="BZ39" s="581" t="str">
        <f>IF(39=39,IF($U39="","",IF((BX39)-(0)&gt;0,"X",IF((BY39)-(0)&gt;0,"?",""))),"")</f>
        <v/>
      </c>
      <c r="CA39" s="581" t="str">
        <f>IF(39=39,IF($U39="","",SUMPRODUCT(--ISNUMBER(SEARCH(" "&amp;$CR$2073:$CR$2093&amp;" ",$AA39)))),"")</f>
        <v/>
      </c>
      <c r="CB39" s="581" t="str">
        <f>IF(39=39,IF($U39="","",SUMPRODUCT(--ISNUMBER(SEARCH(" "&amp;$CR$2094:$CR$2133&amp;" ",SUBSTITUTE(SUBSTITUTE($AA39," "&amp;$CR$1367&amp;" "," ")," "&amp;$CR$1366&amp;" "," "))))+--ISNUMBER(SEARCH("poiré",$V39))),"")</f>
        <v/>
      </c>
      <c r="CC39" s="581" t="str">
        <f>IF(39=39,IF($U39="","",IF(OR(CA39&gt;0,ISNUMBER(SEARCH(" vinaigre de vin ",$AA39)),ISNUMBER(SEARCH(" vinaigre au vin ",$AA39))),"X",IF(CB39&gt;0,"?",""))),"")</f>
        <v/>
      </c>
      <c r="CD39" s="581" t="str">
        <f>IF(39=39,IF($U39="","",SUMPRODUCT(--ISNUMBER(SEARCH(" "&amp;$CR$2134:$CR$2146&amp;" ",$AA39)))),"")</f>
        <v/>
      </c>
      <c r="CE39" s="581" t="str">
        <f>IF(39=39,IF($U39="","",SUMPRODUCT(--ISNUMBER(SEARCH(" "&amp;$CR$2147:$CR$2152&amp;" ",$AA39)))),"")</f>
        <v/>
      </c>
      <c r="CF39" s="581" t="str">
        <f>IF(39=39,IF($U39="","",IF((CD39)-(0)&gt;0,"X",IF((CE39)-(0)&gt;0,"?",""))),"")</f>
        <v/>
      </c>
      <c r="CG39" s="581" t="str">
        <f>IF(39=39,IF($U39="","",SUMPRODUCT(--ISNUMBER(SEARCH(" "&amp;$CR$2153:$CR$2252&amp;" ",$CJ39)))),"")</f>
        <v/>
      </c>
      <c r="CH39" s="581" t="str">
        <f>IF(39=39,IF($U39="","",SUMPRODUCT(--ISNUMBER(SEARCH(" "&amp;$CR$2253:$CR$2352&amp;" ",$CJ39)))),"")</f>
        <v/>
      </c>
      <c r="CI39" s="581" t="str">
        <f>IF(39=39,IF($U39="","",SUMPRODUCT(--ISNUMBER(SEARCH(" "&amp;$CR$2353:$CR$2395&amp;" ",$CJ39)))),"")</f>
        <v/>
      </c>
      <c r="CJ39" s="581"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c>
      <c r="CK39" s="581" t="str">
        <f>IF(39=39,IF($U39="","",SUMPRODUCT(--ISNUMBER(SEARCH(" "&amp;$CR$2412:$CR$2416&amp;" ",$CJ39)))),"")</f>
        <v/>
      </c>
      <c r="CL39" s="581" t="str">
        <f>IF(39=39,IF($U39="","",IF(SUM(CG39:CI39)&gt;0,"X",IF(CK39&gt;0,"?",""))),"")</f>
        <v/>
      </c>
      <c r="CM39" s="582"/>
      <c r="CN39" s="584" t="s">
        <v>2084</v>
      </c>
      <c r="CO39" s="584" t="s">
        <v>1887</v>
      </c>
      <c r="CP39" s="584" t="s">
        <v>1888</v>
      </c>
      <c r="CQ39" s="584" t="s">
        <v>2085</v>
      </c>
      <c r="CR39" s="584" t="s">
        <v>2086</v>
      </c>
      <c r="CS39" s="584" t="s">
        <v>1890</v>
      </c>
      <c r="CT39" s="584" t="s">
        <v>1891</v>
      </c>
      <c r="CU39" s="584" t="s">
        <v>1892</v>
      </c>
      <c r="CV39" s="585" t="s">
        <v>1893</v>
      </c>
    </row>
    <row r="40" spans="1:100" ht="21.95" customHeight="1" x14ac:dyDescent="0.25">
      <c r="A40" s="597">
        <v>34</v>
      </c>
      <c r="B40" s="598"/>
      <c r="C40" s="599" t="str">
        <f t="shared" si="0"/>
        <v/>
      </c>
      <c r="D40" s="600"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601" t="str">
        <f>IF(40=40,IF($B40="","",AF40),"")</f>
        <v/>
      </c>
      <c r="F40" s="601" t="str">
        <f>IF(40=40,IF($B40="","",AI40),"")</f>
        <v/>
      </c>
      <c r="G40" s="601" t="str">
        <f>IF(40=40,IF($B40="","",AM40),"")</f>
        <v/>
      </c>
      <c r="H40" s="601" t="str">
        <f>IF(40=40,IF($B40="","",AZ40),"")</f>
        <v/>
      </c>
      <c r="I40" s="601" t="str">
        <f>IF(40=40,IF($B40="","",BB40),"")</f>
        <v/>
      </c>
      <c r="J40" s="601" t="str">
        <f>IF(40=40,IF($B40="","",BF40),"")</f>
        <v/>
      </c>
      <c r="K40" s="601" t="str">
        <f>IF(40=40,IF($B40="","",BM40),"")</f>
        <v/>
      </c>
      <c r="L40" s="601" t="str">
        <f>IF(40=40,IF($B40="","",BQ40),"")</f>
        <v/>
      </c>
      <c r="M40" s="601" t="str">
        <f>IF(40=40,IF($B40="","",BT40),"")</f>
        <v/>
      </c>
      <c r="N40" s="601" t="str">
        <f>IF(40=40,IF($B40="","",BW40),"")</f>
        <v/>
      </c>
      <c r="O40" s="601" t="str">
        <f>IF(40=40,IF($B40="","",BZ40),"")</f>
        <v/>
      </c>
      <c r="P40" s="601" t="str">
        <f>IF(40=40,IF($B40="","",CC40),"")</f>
        <v/>
      </c>
      <c r="Q40" s="601" t="str">
        <f>IF(40=40,IF($B40="","",CF40),"")</f>
        <v/>
      </c>
      <c r="R40" s="601" t="str">
        <f>IF(40=40,IF($B40="","",CL40),"")</f>
        <v/>
      </c>
      <c r="S40" s="602"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
      </c>
      <c r="U40" s="581" t="str">
        <f>IF(40=40,IF($B40="","",$B40),"")</f>
        <v/>
      </c>
      <c r="V40" s="581" t="str">
        <f>IF(40=40,LOWER(CLEAN(SUBSTITUTE(SUBSTITUTE(SUBSTITUTE(SUBSTITUTE($U40,CHAR(160)," ")," "," "),CHAR(10)," "),CHAR(13)," "))),"")</f>
        <v/>
      </c>
      <c r="W40" s="581" t="str">
        <f>IF(40=40,SUBSTITUTE(SUBSTITUTE(SUBSTITUTE(SUBSTITUTE(SUBSTITUTE(SUBSTITUTE(SUBSTITUTE(SUBSTITUTE(SUBSTITUTE(SUBSTITUTE(SUBSTITUTE(SUBSTITUTE($V40,"œ","oe"),"æ","ae"),"à","a"),"á","a"),"â","a"),"ä","a"),"ã","a"),"ç","c"),"è","e"),"é","e"),"ê","e"),"ë","e"),"")</f>
        <v/>
      </c>
      <c r="X40" s="581" t="str">
        <f>IF(40=40,SUBSTITUTE(SUBSTITUTE(SUBSTITUTE(SUBSTITUTE(SUBSTITUTE(SUBSTITUTE(SUBSTITUTE(SUBSTITUTE(SUBSTITUTE(SUBSTITUTE(SUBSTITUTE(SUBSTITUTE(SUBSTITUTE(SUBSTITUTE(SUBSTITUTE(SUBSTITUTE($W40,"ì","i"),"í","i"),"î","i"),"ï","i"),"ñ","n"),"ò","o"),"ó","o"),"ô","o"),"ö","o"),"õ","o"),"ù","u"),"ú","u"),"û","u"),"ü","u"),"ý","y"),"ÿ","y"),"")</f>
        <v/>
      </c>
      <c r="Y40" s="581" t="str">
        <f>IF(40=40,SUBSTITUTE(SUBSTITUTE(SUBSTITUTE(SUBSTITUTE(SUBSTITUTE(SUBSTITUTE(SUBSTITUTE(SUBSTITUTE(SUBSTITUTE(SUBSTITUTE(SUBSTITUTE(SUBSTITUTE(SUBSTITUTE(SUBSTITUTE($X40,"’"," "),"`"," "),"–"," "),"—"," "),"-"," "),"'"," "),"/"," "),"_"," "),","," "),"."," "),"("," "),")"," "),";"," "),":"," "),"")</f>
        <v/>
      </c>
      <c r="Z40" s="581" t="str">
        <f>IF(40=40,SUBSTITUTE(SUBSTITUTE(SUBSTITUTE(SUBSTITUTE(SUBSTITUTE(SUBSTITUTE(SUBSTITUTE(SUBSTITUTE(SUBSTITUTE(SUBSTITUTE(SUBSTITUTE(SUBSTITUTE(SUBSTITUTE(SUBSTITUTE(SUBSTITUTE($Y40,"!"," "),"?"," "),"+"," "),"*"," "),"&amp;"," "),"["," "),"]"," "),"{"," "),"}"," "),"%"," "),"="," "),"\"," "),"|"," "),"&lt;"," "),"&gt;"," "),"")</f>
        <v/>
      </c>
      <c r="AA40" s="581" t="str">
        <f>IF(40=40," "&amp;TRIM(SUBSTITUTE(SUBSTITUTE(SUBSTITUTE(SUBSTITUTE(SUBSTITUTE(SUBSTITUTE($Z40,CHAR(34)," "),"  "," "),"  "," "),"  "," "),"  "," "),"  "," "))&amp;" ","")</f>
        <v xml:space="preserve">  </v>
      </c>
      <c r="AB40" s="581" t="str">
        <f>IF(40=40,IF($U40="","",SUMPRODUCT(--ISNUMBER(SEARCH(" "&amp;$CR$2:$CR$101&amp;" ",$AD40)))),"")</f>
        <v/>
      </c>
      <c r="AC40" s="581" t="str">
        <f>IF(40=40,IF($U40="","",SUMPRODUCT(--ISNUMBER(SEARCH(" "&amp;$CR$102:$CR$151&amp;" ",$AD40)))),"")</f>
        <v/>
      </c>
      <c r="AD40" s="581"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0" s="581" t="str">
        <f>IF(40=40,IF($U40="","",SUMPRODUCT(--ISNUMBER(SEARCH(" "&amp;$CR$184:$CR$205&amp;" ",$AD40)))),"")</f>
        <v/>
      </c>
      <c r="AF40" s="581" t="str">
        <f>IF(40=40,IF($U40="","",IF(SUM(AB40:AC40)+SUMPRODUCT(--ISNUMBER(SEARCH(" "&amp;$CR$2418:$CR$2420&amp;" ",$AD40)))&gt;0,"X",IF(AE40&gt;0,"?",""))),"")</f>
        <v/>
      </c>
      <c r="AG40" s="581" t="str">
        <f>IF(40=40,IF($U40="","",SUMPRODUCT(--ISNUMBER(SEARCH(" "&amp;$CR$206:$CR$305&amp;" ",$AA40)))),"")</f>
        <v/>
      </c>
      <c r="AH40" s="581" t="str">
        <f>IF(40=40,IF($U40="","",SUMPRODUCT(--ISNUMBER(SEARCH(" "&amp;$CR$306:$CR$340&amp;" ",$AA40)))),"")</f>
        <v/>
      </c>
      <c r="AI40" s="581" t="str">
        <f>IF(40=40,IF($U40="","",IF((SUM(AG40:AH40))-(0)&gt;0,"X",IF((0)-(0)&gt;0,"?",""))),"")</f>
        <v/>
      </c>
      <c r="AJ40" s="581" t="str">
        <f>IF(40=40,IF($U40="","",SUMPRODUCT(--ISNUMBER(SEARCH(" "&amp;$CR$341:$CR$398&amp;" ",$AA40)))),"")</f>
        <v/>
      </c>
      <c r="AK40" s="581" t="str">
        <f>IF(40=40,IF($U40="","",SUMPRODUCT(--ISNUMBER(SEARCH(" "&amp;$CR$399:$CR$426&amp;" ",$AL40)))+SUMPRODUCT(--ISNUMBER(SEARCH(" "&amp;$CR$2440:$CR$2453&amp;" ",$AL40)))),"")</f>
        <v/>
      </c>
      <c r="AL40" s="581" t="str">
        <f>IF(40=40,IF($U40="","",SUBSTITUTE(SUBSTITUTE(SUBSTITUTE(SUBSTITUTE(SUBSTITUTE(SUBSTITUTE(SUBSTITUTE(SUBSTITUTE(SUBSTITUTE(SUBSTITUTE(SUBSTITUTE(SUBSTITUTE(SUBSTITUTE($AA40," "&amp;$CR$433&amp;" "," ")," "&amp;$CR$431&amp;" "," ")," "&amp;$CR$2438&amp;" "," ")," "&amp;$CR$2439&amp;" "," ")," "&amp;$CR$428&amp;" "," ")," "&amp;$CR$432&amp;" "," ")," "&amp;$CR$434&amp;" "," ")," "&amp;$CR$429&amp;" "," ")," "&amp;$CR$427&amp;" "," ")," "&amp;$CR$1367&amp;" "," ")," "&amp;$CR$435&amp;" "," ")," "&amp;$CR$1366&amp;" "," ")," "&amp;$CR$430&amp;" "," ")),"")</f>
        <v/>
      </c>
      <c r="AM40" s="581" t="str">
        <f>IF(40=40,IF($U40="","",IF(AJ40&gt;0,"X",IF(AK40&gt;0,"?",""))),"")</f>
        <v/>
      </c>
      <c r="AN40" s="581" t="str">
        <f>IF(40=40,IF($U40="","",SUMPRODUCT(--ISNUMBER(SEARCH(" "&amp;$CR$436:$CR$535&amp;" ",$AX40)))),"")</f>
        <v/>
      </c>
      <c r="AO40" s="581" t="str">
        <f>IF(40=40,IF($U40="","",SUMPRODUCT(--ISNUMBER(SEARCH(" "&amp;$CR$536:$CR$635&amp;" ",$AX40)))),"")</f>
        <v/>
      </c>
      <c r="AP40" s="581" t="str">
        <f>IF(40=40,IF($U40="","",SUMPRODUCT(--ISNUMBER(SEARCH(" "&amp;$CR$636:$CR$735&amp;" ",$AX40)))),"")</f>
        <v/>
      </c>
      <c r="AQ40" s="581" t="str">
        <f>IF(40=40,IF($U40="","",SUMPRODUCT(--ISNUMBER(SEARCH(" "&amp;$CR$736:$CR$835&amp;" ",$AX40)))),"")</f>
        <v/>
      </c>
      <c r="AR40" s="581" t="str">
        <f>IF(40=40,IF($U40="","",SUMPRODUCT(--ISNUMBER(SEARCH(" "&amp;$CR$836:$CR$935&amp;" ",$AX40)))),"")</f>
        <v/>
      </c>
      <c r="AS40" s="581" t="str">
        <f>IF(40=40,IF($U40="","",SUMPRODUCT(--ISNUMBER(SEARCH(" "&amp;$CR$936:$CR$1035&amp;" ",$AX40)))),"")</f>
        <v/>
      </c>
      <c r="AT40" s="581" t="str">
        <f>IF(40=40,IF($U40="","",SUMPRODUCT(--ISNUMBER(SEARCH(" "&amp;$CR$1036:$CR$1135&amp;" ",$AX40)))),"")</f>
        <v/>
      </c>
      <c r="AU40" s="581" t="str">
        <f>IF(40=40,IF($U40="","",SUMPRODUCT(--ISNUMBER(SEARCH(" "&amp;$CR$1136:$CR$1235&amp;" ",$AX40)))),"")</f>
        <v/>
      </c>
      <c r="AV40" s="581" t="str">
        <f>IF(40=40,IF($U40="","",SUMPRODUCT(--ISNUMBER(SEARCH(" "&amp;$CR$1236:$CR$1335&amp;" ",$AX40)))),"")</f>
        <v/>
      </c>
      <c r="AW40" s="581" t="str">
        <f>IF(40=40,IF($U40="","",SUMPRODUCT(--ISNUMBER(SEARCH(" "&amp;$CR$1336:$CR$1363&amp;" ",$AX40)))),"")</f>
        <v/>
      </c>
      <c r="AX40" s="581" t="str">
        <f>IF(40=40,IF($U40="","",SUBSTITUTE(SUBSTITUTE(SUBSTITUTE(SUBSTITUTE(SUBSTITUTE(SUBSTITUTE(SUBSTITUTE(SUBSTITUTE(SUBSTITUTE($AA40," "&amp;$CR$1365&amp;" "," ")," "&amp;$CR$1364&amp;" "," ")," "&amp;$CR$1370&amp;" "," ")," "&amp;$CR$1371&amp;" "," ")," "&amp;$CR$1367&amp;" "," ")," "&amp;$CR$1369&amp;" "," ")," "&amp;$CR$1366&amp;" "," ")," "&amp;$CR$1368&amp;" "," ")," "&amp;$CR$1372&amp;" "," ")),"")</f>
        <v/>
      </c>
      <c r="AY40" s="581" t="str">
        <f>IF(40=40,IF($U40="","",SUMPRODUCT(--ISNUMBER(SEARCH(" "&amp;$CR$1373:$CR$1383&amp;" ",$AX40)))),"")</f>
        <v/>
      </c>
      <c r="AZ40" s="581" t="str">
        <f>IF(40=40,IF($U40="","",IF(SUM(AN40:AW40)+SUMPRODUCT(--ISNUMBER(SEARCH(" "&amp;$CR$2421:$CR$2422&amp;" ",$AX40)))&gt;0,"X",IF(AY40&gt;0,"?",""))),"")</f>
        <v/>
      </c>
      <c r="BA40" s="581" t="str">
        <f>IF(40=40,IF($U40="","",SUMPRODUCT(--ISNUMBER(SEARCH(" "&amp;$CR$1384:$CR$1404&amp;" ",$AA40)))),"")</f>
        <v/>
      </c>
      <c r="BB40" s="581" t="str">
        <f>IF(40=40,IF($U40="","",IF((BA40)-(0)&gt;0,"X",IF((0)-(0)&gt;0,"?",""))),"")</f>
        <v/>
      </c>
      <c r="BC40" s="581" t="str">
        <f>IF(40=40,IF($U40="","",SUMPRODUCT(--ISNUMBER(SEARCH(" "&amp;$CR$1405:$CR$1442&amp;" ",$BD40)))),"")</f>
        <v/>
      </c>
      <c r="BD40" s="581" t="str">
        <f>IF(40=40,IF($U40="","",SUBSTITUTE(SUBSTITUTE($AA40," "&amp;$CR$1443&amp;" "," ")," "&amp;$CR$1444&amp;" "," ")),"")</f>
        <v/>
      </c>
      <c r="BE40" s="581" t="str">
        <f>IF(40=40,IF($U40="","",SUMPRODUCT(--ISNUMBER(SEARCH(" "&amp;$CR$1445:$CR$1455&amp;" ",$BD40)))),"")</f>
        <v/>
      </c>
      <c r="BF40" s="581" t="str">
        <f>IF(40=40,IF($U40="","",IF(BC40&gt;0,"X",IF(BE40&gt;0,"?",""))),"")</f>
        <v/>
      </c>
      <c r="BG40" s="581" t="str">
        <f>IF(40=40,IF($U40="","",SUMPRODUCT(--ISNUMBER(SEARCH(" "&amp;$CR$1456:$CR$1555&amp;" ",$BJ40)))),"")</f>
        <v/>
      </c>
      <c r="BH40" s="581" t="str">
        <f>IF(40=40,IF($U40="","",SUMPRODUCT(--ISNUMBER(SEARCH(" "&amp;$CR$1556:$CR$1655&amp;" ",$BJ40)))),"")</f>
        <v/>
      </c>
      <c r="BI40" s="581" t="str">
        <f>IF(40=40,IF($U40="","",SUMPRODUCT(--ISNUMBER(SEARCH(" "&amp;$CR$1656:$CR$1739&amp;" ",$BJ40)))),"")</f>
        <v/>
      </c>
      <c r="BJ40" s="581"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0" s="581" t="str">
        <f>IF(40=40,IF($U40="","",SUMPRODUCT(--ISNUMBER(SEARCH(" "&amp;$CR$1790:$CR$1869&amp;" ",$BL40)))+SUMPRODUCT(--ISNUMBER(SEARCH(" "&amp;$CR$2440:$CR$2453&amp;" ",$BL40)))),"")</f>
        <v/>
      </c>
      <c r="BL40" s="581"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c>
      <c r="BM40" s="581" t="str">
        <f>IF(40=40,IF($U40="","",IF(SUM(BG40:BI40)+SUMPRODUCT(--ISNUMBER(SEARCH(" "&amp;$CR$2423:$CR$2424&amp;" ",$BJ40)))&gt;0,"X",IF(BK40&gt;0,"?",""))),"")</f>
        <v/>
      </c>
      <c r="BN40" s="581" t="str">
        <f>IF(40=40,IF($U40="","",SUMPRODUCT(--ISNUMBER(SEARCH(" "&amp;$CR$1879:$CR$1936&amp;" ",$BO40)))),"")</f>
        <v/>
      </c>
      <c r="BO40" s="581"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0" s="581" t="str">
        <f>IF(40=40,IF($U40="","",SUMPRODUCT(--ISNUMBER(SEARCH(" "&amp;$CR$1960:$CR$1976&amp;" ",$BO40)))),"")</f>
        <v/>
      </c>
      <c r="BQ40" s="581" t="str">
        <f>IF(40=40,IF($U40="","",IF(BN40&gt;0,"X",IF(BP40&gt;0,"?",""))),"")</f>
        <v/>
      </c>
      <c r="BR40" s="581" t="str">
        <f>IF(40=40,IF($U40="","",SUMPRODUCT(--ISNUMBER(SEARCH(" "&amp;$CR$1977:$CR$1990&amp;" ",$AA40)))),"")</f>
        <v/>
      </c>
      <c r="BS40" s="581" t="str">
        <f>IF(40=40,IF($U40="","",SUMPRODUCT(--ISNUMBER(SEARCH(" "&amp;$CR$1991:$CR$2005&amp;" ",$AA40)))),"")</f>
        <v/>
      </c>
      <c r="BT40" s="581" t="str">
        <f>IF(40=40,IF($U40="","",IF((BR40)-(0)&gt;0,"X",IF((BS40)-(0)&gt;0,"?",""))),"")</f>
        <v/>
      </c>
      <c r="BU40" s="581" t="str">
        <f>IF(40=40,IF($U40="","",SUMPRODUCT(--ISNUMBER(SEARCH(" "&amp;$CR$2006:$CR$2023&amp;" ",$AA40)))),"")</f>
        <v/>
      </c>
      <c r="BV40" s="581" t="str">
        <f>IF(40=40,IF($U40="","",SUMPRODUCT(--ISNUMBER(SEARCH(" "&amp;$CR$2024:$CR$2038&amp;" ",$AA40)))),"")</f>
        <v/>
      </c>
      <c r="BW40" s="581" t="str">
        <f>IF(40=40,IF($U40="","",IF((BU40)-(0)&gt;0,"X",IF((BV40)-(0)&gt;0,"?",""))),"")</f>
        <v/>
      </c>
      <c r="BX40" s="581" t="str">
        <f>IF(40=40,IF($U40="","",SUMPRODUCT(--ISNUMBER(SEARCH(" "&amp;$CR$2039:$CR$2057&amp;" ",$AA40)))),"")</f>
        <v/>
      </c>
      <c r="BY40" s="581" t="str">
        <f>IF(40=40,IF($U40="","",SUMPRODUCT(--ISNUMBER(SEARCH(" "&amp;$CR$2058:$CR$2072&amp;" ",$AA40)))),"")</f>
        <v/>
      </c>
      <c r="BZ40" s="581" t="str">
        <f>IF(40=40,IF($U40="","",IF((BX40)-(0)&gt;0,"X",IF((BY40)-(0)&gt;0,"?",""))),"")</f>
        <v/>
      </c>
      <c r="CA40" s="581" t="str">
        <f>IF(40=40,IF($U40="","",SUMPRODUCT(--ISNUMBER(SEARCH(" "&amp;$CR$2073:$CR$2093&amp;" ",$AA40)))),"")</f>
        <v/>
      </c>
      <c r="CB40" s="581" t="str">
        <f>IF(40=40,IF($U40="","",SUMPRODUCT(--ISNUMBER(SEARCH(" "&amp;$CR$2094:$CR$2133&amp;" ",SUBSTITUTE(SUBSTITUTE($AA40," "&amp;$CR$1367&amp;" "," ")," "&amp;$CR$1366&amp;" "," "))))+--ISNUMBER(SEARCH("poiré",$V40))),"")</f>
        <v/>
      </c>
      <c r="CC40" s="581" t="str">
        <f>IF(40=40,IF($U40="","",IF(OR(CA40&gt;0,ISNUMBER(SEARCH(" vinaigre de vin ",$AA40)),ISNUMBER(SEARCH(" vinaigre au vin ",$AA40))),"X",IF(CB40&gt;0,"?",""))),"")</f>
        <v/>
      </c>
      <c r="CD40" s="581" t="str">
        <f>IF(40=40,IF($U40="","",SUMPRODUCT(--ISNUMBER(SEARCH(" "&amp;$CR$2134:$CR$2146&amp;" ",$AA40)))),"")</f>
        <v/>
      </c>
      <c r="CE40" s="581" t="str">
        <f>IF(40=40,IF($U40="","",SUMPRODUCT(--ISNUMBER(SEARCH(" "&amp;$CR$2147:$CR$2152&amp;" ",$AA40)))),"")</f>
        <v/>
      </c>
      <c r="CF40" s="581" t="str">
        <f>IF(40=40,IF($U40="","",IF((CD40)-(0)&gt;0,"X",IF((CE40)-(0)&gt;0,"?",""))),"")</f>
        <v/>
      </c>
      <c r="CG40" s="581" t="str">
        <f>IF(40=40,IF($U40="","",SUMPRODUCT(--ISNUMBER(SEARCH(" "&amp;$CR$2153:$CR$2252&amp;" ",$CJ40)))),"")</f>
        <v/>
      </c>
      <c r="CH40" s="581" t="str">
        <f>IF(40=40,IF($U40="","",SUMPRODUCT(--ISNUMBER(SEARCH(" "&amp;$CR$2253:$CR$2352&amp;" ",$CJ40)))),"")</f>
        <v/>
      </c>
      <c r="CI40" s="581" t="str">
        <f>IF(40=40,IF($U40="","",SUMPRODUCT(--ISNUMBER(SEARCH(" "&amp;$CR$2353:$CR$2395&amp;" ",$CJ40)))),"")</f>
        <v/>
      </c>
      <c r="CJ40" s="581"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c>
      <c r="CK40" s="581" t="str">
        <f>IF(40=40,IF($U40="","",SUMPRODUCT(--ISNUMBER(SEARCH(" "&amp;$CR$2412:$CR$2416&amp;" ",$CJ40)))),"")</f>
        <v/>
      </c>
      <c r="CL40" s="581" t="str">
        <f>IF(40=40,IF($U40="","",IF(SUM(CG40:CI40)&gt;0,"X",IF(CK40&gt;0,"?",""))),"")</f>
        <v/>
      </c>
      <c r="CM40" s="582"/>
      <c r="CN40" s="584" t="s">
        <v>2087</v>
      </c>
      <c r="CO40" s="584" t="s">
        <v>1887</v>
      </c>
      <c r="CP40" s="584" t="s">
        <v>1888</v>
      </c>
      <c r="CQ40" s="584" t="s">
        <v>2088</v>
      </c>
      <c r="CR40" s="584" t="s">
        <v>2089</v>
      </c>
      <c r="CS40" s="584" t="s">
        <v>1890</v>
      </c>
      <c r="CT40" s="584" t="s">
        <v>1891</v>
      </c>
      <c r="CU40" s="584" t="s">
        <v>1892</v>
      </c>
      <c r="CV40" s="585" t="s">
        <v>1893</v>
      </c>
    </row>
    <row r="41" spans="1:100" ht="21.95" customHeight="1" x14ac:dyDescent="0.25">
      <c r="A41" s="597">
        <v>35</v>
      </c>
      <c r="B41" s="598"/>
      <c r="C41" s="599" t="str">
        <f t="shared" si="0"/>
        <v/>
      </c>
      <c r="D41" s="600"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
      </c>
      <c r="E41" s="601" t="str">
        <f>IF(41=41,IF($B41="","",AF41),"")</f>
        <v/>
      </c>
      <c r="F41" s="601" t="str">
        <f>IF(41=41,IF($B41="","",AI41),"")</f>
        <v/>
      </c>
      <c r="G41" s="601" t="str">
        <f>IF(41=41,IF($B41="","",AM41),"")</f>
        <v/>
      </c>
      <c r="H41" s="601" t="str">
        <f>IF(41=41,IF($B41="","",AZ41),"")</f>
        <v/>
      </c>
      <c r="I41" s="601" t="str">
        <f>IF(41=41,IF($B41="","",BB41),"")</f>
        <v/>
      </c>
      <c r="J41" s="601" t="str">
        <f>IF(41=41,IF($B41="","",BF41),"")</f>
        <v/>
      </c>
      <c r="K41" s="601" t="str">
        <f>IF(41=41,IF($B41="","",BM41),"")</f>
        <v/>
      </c>
      <c r="L41" s="601" t="str">
        <f>IF(41=41,IF($B41="","",BQ41),"")</f>
        <v/>
      </c>
      <c r="M41" s="601" t="str">
        <f>IF(41=41,IF($B41="","",BT41),"")</f>
        <v/>
      </c>
      <c r="N41" s="601" t="str">
        <f>IF(41=41,IF($B41="","",BW41),"")</f>
        <v/>
      </c>
      <c r="O41" s="601" t="str">
        <f>IF(41=41,IF($B41="","",BZ41),"")</f>
        <v/>
      </c>
      <c r="P41" s="601" t="str">
        <f>IF(41=41,IF($B41="","",CC41),"")</f>
        <v/>
      </c>
      <c r="Q41" s="601" t="str">
        <f>IF(41=41,IF($B41="","",CF41),"")</f>
        <v/>
      </c>
      <c r="R41" s="601" t="str">
        <f>IF(41=41,IF($B41="","",CL41),"")</f>
        <v/>
      </c>
      <c r="S41" s="602"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581" t="str">
        <f>IF(41=41,IF($B41="","",$B41),"")</f>
        <v/>
      </c>
      <c r="V41" s="581" t="str">
        <f>IF(41=41,LOWER(CLEAN(SUBSTITUTE(SUBSTITUTE(SUBSTITUTE(SUBSTITUTE($U41,CHAR(160)," ")," "," "),CHAR(10)," "),CHAR(13)," "))),"")</f>
        <v/>
      </c>
      <c r="W41" s="581" t="str">
        <f>IF(41=41,SUBSTITUTE(SUBSTITUTE(SUBSTITUTE(SUBSTITUTE(SUBSTITUTE(SUBSTITUTE(SUBSTITUTE(SUBSTITUTE(SUBSTITUTE(SUBSTITUTE(SUBSTITUTE(SUBSTITUTE($V41,"œ","oe"),"æ","ae"),"à","a"),"á","a"),"â","a"),"ä","a"),"ã","a"),"ç","c"),"è","e"),"é","e"),"ê","e"),"ë","e"),"")</f>
        <v/>
      </c>
      <c r="X41" s="581" t="str">
        <f>IF(41=41,SUBSTITUTE(SUBSTITUTE(SUBSTITUTE(SUBSTITUTE(SUBSTITUTE(SUBSTITUTE(SUBSTITUTE(SUBSTITUTE(SUBSTITUTE(SUBSTITUTE(SUBSTITUTE(SUBSTITUTE(SUBSTITUTE(SUBSTITUTE(SUBSTITUTE(SUBSTITUTE($W41,"ì","i"),"í","i"),"î","i"),"ï","i"),"ñ","n"),"ò","o"),"ó","o"),"ô","o"),"ö","o"),"õ","o"),"ù","u"),"ú","u"),"û","u"),"ü","u"),"ý","y"),"ÿ","y"),"")</f>
        <v/>
      </c>
      <c r="Y41" s="581" t="str">
        <f>IF(41=41,SUBSTITUTE(SUBSTITUTE(SUBSTITUTE(SUBSTITUTE(SUBSTITUTE(SUBSTITUTE(SUBSTITUTE(SUBSTITUTE(SUBSTITUTE(SUBSTITUTE(SUBSTITUTE(SUBSTITUTE(SUBSTITUTE(SUBSTITUTE($X41,"’"," "),"`"," "),"–"," "),"—"," "),"-"," "),"'"," "),"/"," "),"_"," "),","," "),"."," "),"("," "),")"," "),";"," "),":"," "),"")</f>
        <v/>
      </c>
      <c r="Z41" s="581" t="str">
        <f>IF(41=41,SUBSTITUTE(SUBSTITUTE(SUBSTITUTE(SUBSTITUTE(SUBSTITUTE(SUBSTITUTE(SUBSTITUTE(SUBSTITUTE(SUBSTITUTE(SUBSTITUTE(SUBSTITUTE(SUBSTITUTE(SUBSTITUTE(SUBSTITUTE(SUBSTITUTE($Y41,"!"," "),"?"," "),"+"," "),"*"," "),"&amp;"," "),"["," "),"]"," "),"{"," "),"}"," "),"%"," "),"="," "),"\"," "),"|"," "),"&lt;"," "),"&gt;"," "),"")</f>
        <v/>
      </c>
      <c r="AA41" s="581" t="str">
        <f>IF(41=41," "&amp;TRIM(SUBSTITUTE(SUBSTITUTE(SUBSTITUTE(SUBSTITUTE(SUBSTITUTE(SUBSTITUTE($Z41,CHAR(34)," "),"  "," "),"  "," "),"  "," "),"  "," "),"  "," "))&amp;" ","")</f>
        <v xml:space="preserve">  </v>
      </c>
      <c r="AB41" s="581" t="str">
        <f>IF(41=41,IF($U41="","",SUMPRODUCT(--ISNUMBER(SEARCH(" "&amp;$CR$2:$CR$101&amp;" ",$AD41)))),"")</f>
        <v/>
      </c>
      <c r="AC41" s="581" t="str">
        <f>IF(41=41,IF($U41="","",SUMPRODUCT(--ISNUMBER(SEARCH(" "&amp;$CR$102:$CR$151&amp;" ",$AD41)))),"")</f>
        <v/>
      </c>
      <c r="AD41" s="581"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1" s="581" t="str">
        <f>IF(41=41,IF($U41="","",SUMPRODUCT(--ISNUMBER(SEARCH(" "&amp;$CR$184:$CR$205&amp;" ",$AD41)))),"")</f>
        <v/>
      </c>
      <c r="AF41" s="581" t="str">
        <f>IF(41=41,IF($U41="","",IF(SUM(AB41:AC41)+SUMPRODUCT(--ISNUMBER(SEARCH(" "&amp;$CR$2418:$CR$2420&amp;" ",$AD41)))&gt;0,"X",IF(AE41&gt;0,"?",""))),"")</f>
        <v/>
      </c>
      <c r="AG41" s="581" t="str">
        <f>IF(41=41,IF($U41="","",SUMPRODUCT(--ISNUMBER(SEARCH(" "&amp;$CR$206:$CR$305&amp;" ",$AA41)))),"")</f>
        <v/>
      </c>
      <c r="AH41" s="581" t="str">
        <f>IF(41=41,IF($U41="","",SUMPRODUCT(--ISNUMBER(SEARCH(" "&amp;$CR$306:$CR$340&amp;" ",$AA41)))),"")</f>
        <v/>
      </c>
      <c r="AI41" s="581" t="str">
        <f>IF(41=41,IF($U41="","",IF((SUM(AG41:AH41))-(0)&gt;0,"X",IF((0)-(0)&gt;0,"?",""))),"")</f>
        <v/>
      </c>
      <c r="AJ41" s="581" t="str">
        <f>IF(41=41,IF($U41="","",SUMPRODUCT(--ISNUMBER(SEARCH(" "&amp;$CR$341:$CR$398&amp;" ",$AA41)))),"")</f>
        <v/>
      </c>
      <c r="AK41" s="581" t="str">
        <f>IF(41=41,IF($U41="","",SUMPRODUCT(--ISNUMBER(SEARCH(" "&amp;$CR$399:$CR$426&amp;" ",$AL41)))+SUMPRODUCT(--ISNUMBER(SEARCH(" "&amp;$CR$2440:$CR$2453&amp;" ",$AL41)))),"")</f>
        <v/>
      </c>
      <c r="AL41" s="581" t="str">
        <f>IF(41=41,IF($U41="","",SUBSTITUTE(SUBSTITUTE(SUBSTITUTE(SUBSTITUTE(SUBSTITUTE(SUBSTITUTE(SUBSTITUTE(SUBSTITUTE(SUBSTITUTE(SUBSTITUTE(SUBSTITUTE(SUBSTITUTE(SUBSTITUTE($AA41," "&amp;$CR$433&amp;" "," ")," "&amp;$CR$431&amp;" "," ")," "&amp;$CR$2438&amp;" "," ")," "&amp;$CR$2439&amp;" "," ")," "&amp;$CR$428&amp;" "," ")," "&amp;$CR$432&amp;" "," ")," "&amp;$CR$434&amp;" "," ")," "&amp;$CR$429&amp;" "," ")," "&amp;$CR$427&amp;" "," ")," "&amp;$CR$1367&amp;" "," ")," "&amp;$CR$435&amp;" "," ")," "&amp;$CR$1366&amp;" "," ")," "&amp;$CR$430&amp;" "," ")),"")</f>
        <v/>
      </c>
      <c r="AM41" s="581" t="str">
        <f>IF(41=41,IF($U41="","",IF(AJ41&gt;0,"X",IF(AK41&gt;0,"?",""))),"")</f>
        <v/>
      </c>
      <c r="AN41" s="581" t="str">
        <f>IF(41=41,IF($U41="","",SUMPRODUCT(--ISNUMBER(SEARCH(" "&amp;$CR$436:$CR$535&amp;" ",$AX41)))),"")</f>
        <v/>
      </c>
      <c r="AO41" s="581" t="str">
        <f>IF(41=41,IF($U41="","",SUMPRODUCT(--ISNUMBER(SEARCH(" "&amp;$CR$536:$CR$635&amp;" ",$AX41)))),"")</f>
        <v/>
      </c>
      <c r="AP41" s="581" t="str">
        <f>IF(41=41,IF($U41="","",SUMPRODUCT(--ISNUMBER(SEARCH(" "&amp;$CR$636:$CR$735&amp;" ",$AX41)))),"")</f>
        <v/>
      </c>
      <c r="AQ41" s="581" t="str">
        <f>IF(41=41,IF($U41="","",SUMPRODUCT(--ISNUMBER(SEARCH(" "&amp;$CR$736:$CR$835&amp;" ",$AX41)))),"")</f>
        <v/>
      </c>
      <c r="AR41" s="581" t="str">
        <f>IF(41=41,IF($U41="","",SUMPRODUCT(--ISNUMBER(SEARCH(" "&amp;$CR$836:$CR$935&amp;" ",$AX41)))),"")</f>
        <v/>
      </c>
      <c r="AS41" s="581" t="str">
        <f>IF(41=41,IF($U41="","",SUMPRODUCT(--ISNUMBER(SEARCH(" "&amp;$CR$936:$CR$1035&amp;" ",$AX41)))),"")</f>
        <v/>
      </c>
      <c r="AT41" s="581" t="str">
        <f>IF(41=41,IF($U41="","",SUMPRODUCT(--ISNUMBER(SEARCH(" "&amp;$CR$1036:$CR$1135&amp;" ",$AX41)))),"")</f>
        <v/>
      </c>
      <c r="AU41" s="581" t="str">
        <f>IF(41=41,IF($U41="","",SUMPRODUCT(--ISNUMBER(SEARCH(" "&amp;$CR$1136:$CR$1235&amp;" ",$AX41)))),"")</f>
        <v/>
      </c>
      <c r="AV41" s="581" t="str">
        <f>IF(41=41,IF($U41="","",SUMPRODUCT(--ISNUMBER(SEARCH(" "&amp;$CR$1236:$CR$1335&amp;" ",$AX41)))),"")</f>
        <v/>
      </c>
      <c r="AW41" s="581" t="str">
        <f>IF(41=41,IF($U41="","",SUMPRODUCT(--ISNUMBER(SEARCH(" "&amp;$CR$1336:$CR$1363&amp;" ",$AX41)))),"")</f>
        <v/>
      </c>
      <c r="AX41" s="581" t="str">
        <f>IF(41=41,IF($U41="","",SUBSTITUTE(SUBSTITUTE(SUBSTITUTE(SUBSTITUTE(SUBSTITUTE(SUBSTITUTE(SUBSTITUTE(SUBSTITUTE(SUBSTITUTE($AA41," "&amp;$CR$1365&amp;" "," ")," "&amp;$CR$1364&amp;" "," ")," "&amp;$CR$1370&amp;" "," ")," "&amp;$CR$1371&amp;" "," ")," "&amp;$CR$1367&amp;" "," ")," "&amp;$CR$1369&amp;" "," ")," "&amp;$CR$1366&amp;" "," ")," "&amp;$CR$1368&amp;" "," ")," "&amp;$CR$1372&amp;" "," ")),"")</f>
        <v/>
      </c>
      <c r="AY41" s="581" t="str">
        <f>IF(41=41,IF($U41="","",SUMPRODUCT(--ISNUMBER(SEARCH(" "&amp;$CR$1373:$CR$1383&amp;" ",$AX41)))),"")</f>
        <v/>
      </c>
      <c r="AZ41" s="581" t="str">
        <f>IF(41=41,IF($U41="","",IF(SUM(AN41:AW41)+SUMPRODUCT(--ISNUMBER(SEARCH(" "&amp;$CR$2421:$CR$2422&amp;" ",$AX41)))&gt;0,"X",IF(AY41&gt;0,"?",""))),"")</f>
        <v/>
      </c>
      <c r="BA41" s="581" t="str">
        <f>IF(41=41,IF($U41="","",SUMPRODUCT(--ISNUMBER(SEARCH(" "&amp;$CR$1384:$CR$1404&amp;" ",$AA41)))),"")</f>
        <v/>
      </c>
      <c r="BB41" s="581" t="str">
        <f>IF(41=41,IF($U41="","",IF((BA41)-(0)&gt;0,"X",IF((0)-(0)&gt;0,"?",""))),"")</f>
        <v/>
      </c>
      <c r="BC41" s="581" t="str">
        <f>IF(41=41,IF($U41="","",SUMPRODUCT(--ISNUMBER(SEARCH(" "&amp;$CR$1405:$CR$1442&amp;" ",$BD41)))),"")</f>
        <v/>
      </c>
      <c r="BD41" s="581" t="str">
        <f>IF(41=41,IF($U41="","",SUBSTITUTE(SUBSTITUTE($AA41," "&amp;$CR$1443&amp;" "," ")," "&amp;$CR$1444&amp;" "," ")),"")</f>
        <v/>
      </c>
      <c r="BE41" s="581" t="str">
        <f>IF(41=41,IF($U41="","",SUMPRODUCT(--ISNUMBER(SEARCH(" "&amp;$CR$1445:$CR$1455&amp;" ",$BD41)))),"")</f>
        <v/>
      </c>
      <c r="BF41" s="581" t="str">
        <f>IF(41=41,IF($U41="","",IF(BC41&gt;0,"X",IF(BE41&gt;0,"?",""))),"")</f>
        <v/>
      </c>
      <c r="BG41" s="581" t="str">
        <f>IF(41=41,IF($U41="","",SUMPRODUCT(--ISNUMBER(SEARCH(" "&amp;$CR$1456:$CR$1555&amp;" ",$BJ41)))),"")</f>
        <v/>
      </c>
      <c r="BH41" s="581" t="str">
        <f>IF(41=41,IF($U41="","",SUMPRODUCT(--ISNUMBER(SEARCH(" "&amp;$CR$1556:$CR$1655&amp;" ",$BJ41)))),"")</f>
        <v/>
      </c>
      <c r="BI41" s="581" t="str">
        <f>IF(41=41,IF($U41="","",SUMPRODUCT(--ISNUMBER(SEARCH(" "&amp;$CR$1656:$CR$1739&amp;" ",$BJ41)))),"")</f>
        <v/>
      </c>
      <c r="BJ41" s="581"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1" s="581" t="str">
        <f>IF(41=41,IF($U41="","",SUMPRODUCT(--ISNUMBER(SEARCH(" "&amp;$CR$1790:$CR$1869&amp;" ",$BL41)))+SUMPRODUCT(--ISNUMBER(SEARCH(" "&amp;$CR$2440:$CR$2453&amp;" ",$BL41)))),"")</f>
        <v/>
      </c>
      <c r="BL41" s="581"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c>
      <c r="BM41" s="581" t="str">
        <f>IF(41=41,IF($U41="","",IF(SUM(BG41:BI41)+SUMPRODUCT(--ISNUMBER(SEARCH(" "&amp;$CR$2423:$CR$2424&amp;" ",$BJ41)))&gt;0,"X",IF(BK41&gt;0,"?",""))),"")</f>
        <v/>
      </c>
      <c r="BN41" s="581" t="str">
        <f>IF(41=41,IF($U41="","",SUMPRODUCT(--ISNUMBER(SEARCH(" "&amp;$CR$1879:$CR$1936&amp;" ",$BO41)))),"")</f>
        <v/>
      </c>
      <c r="BO41" s="581"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1" s="581" t="str">
        <f>IF(41=41,IF($U41="","",SUMPRODUCT(--ISNUMBER(SEARCH(" "&amp;$CR$1960:$CR$1976&amp;" ",$BO41)))),"")</f>
        <v/>
      </c>
      <c r="BQ41" s="581" t="str">
        <f>IF(41=41,IF($U41="","",IF(BN41&gt;0,"X",IF(BP41&gt;0,"?",""))),"")</f>
        <v/>
      </c>
      <c r="BR41" s="581" t="str">
        <f>IF(41=41,IF($U41="","",SUMPRODUCT(--ISNUMBER(SEARCH(" "&amp;$CR$1977:$CR$1990&amp;" ",$AA41)))),"")</f>
        <v/>
      </c>
      <c r="BS41" s="581" t="str">
        <f>IF(41=41,IF($U41="","",SUMPRODUCT(--ISNUMBER(SEARCH(" "&amp;$CR$1991:$CR$2005&amp;" ",$AA41)))),"")</f>
        <v/>
      </c>
      <c r="BT41" s="581" t="str">
        <f>IF(41=41,IF($U41="","",IF((BR41)-(0)&gt;0,"X",IF((BS41)-(0)&gt;0,"?",""))),"")</f>
        <v/>
      </c>
      <c r="BU41" s="581" t="str">
        <f>IF(41=41,IF($U41="","",SUMPRODUCT(--ISNUMBER(SEARCH(" "&amp;$CR$2006:$CR$2023&amp;" ",$AA41)))),"")</f>
        <v/>
      </c>
      <c r="BV41" s="581" t="str">
        <f>IF(41=41,IF($U41="","",SUMPRODUCT(--ISNUMBER(SEARCH(" "&amp;$CR$2024:$CR$2038&amp;" ",$AA41)))),"")</f>
        <v/>
      </c>
      <c r="BW41" s="581" t="str">
        <f>IF(41=41,IF($U41="","",IF((BU41)-(0)&gt;0,"X",IF((BV41)-(0)&gt;0,"?",""))),"")</f>
        <v/>
      </c>
      <c r="BX41" s="581" t="str">
        <f>IF(41=41,IF($U41="","",SUMPRODUCT(--ISNUMBER(SEARCH(" "&amp;$CR$2039:$CR$2057&amp;" ",$AA41)))),"")</f>
        <v/>
      </c>
      <c r="BY41" s="581" t="str">
        <f>IF(41=41,IF($U41="","",SUMPRODUCT(--ISNUMBER(SEARCH(" "&amp;$CR$2058:$CR$2072&amp;" ",$AA41)))),"")</f>
        <v/>
      </c>
      <c r="BZ41" s="581" t="str">
        <f>IF(41=41,IF($U41="","",IF((BX41)-(0)&gt;0,"X",IF((BY41)-(0)&gt;0,"?",""))),"")</f>
        <v/>
      </c>
      <c r="CA41" s="581" t="str">
        <f>IF(41=41,IF($U41="","",SUMPRODUCT(--ISNUMBER(SEARCH(" "&amp;$CR$2073:$CR$2093&amp;" ",$AA41)))),"")</f>
        <v/>
      </c>
      <c r="CB41" s="581" t="str">
        <f>IF(41=41,IF($U41="","",SUMPRODUCT(--ISNUMBER(SEARCH(" "&amp;$CR$2094:$CR$2133&amp;" ",SUBSTITUTE(SUBSTITUTE($AA41," "&amp;$CR$1367&amp;" "," ")," "&amp;$CR$1366&amp;" "," "))))+--ISNUMBER(SEARCH("poiré",$V41))),"")</f>
        <v/>
      </c>
      <c r="CC41" s="581" t="str">
        <f>IF(41=41,IF($U41="","",IF(OR(CA41&gt;0,ISNUMBER(SEARCH(" vinaigre de vin ",$AA41)),ISNUMBER(SEARCH(" vinaigre au vin ",$AA41))),"X",IF(CB41&gt;0,"?",""))),"")</f>
        <v/>
      </c>
      <c r="CD41" s="581" t="str">
        <f>IF(41=41,IF($U41="","",SUMPRODUCT(--ISNUMBER(SEARCH(" "&amp;$CR$2134:$CR$2146&amp;" ",$AA41)))),"")</f>
        <v/>
      </c>
      <c r="CE41" s="581" t="str">
        <f>IF(41=41,IF($U41="","",SUMPRODUCT(--ISNUMBER(SEARCH(" "&amp;$CR$2147:$CR$2152&amp;" ",$AA41)))),"")</f>
        <v/>
      </c>
      <c r="CF41" s="581" t="str">
        <f>IF(41=41,IF($U41="","",IF((CD41)-(0)&gt;0,"X",IF((CE41)-(0)&gt;0,"?",""))),"")</f>
        <v/>
      </c>
      <c r="CG41" s="581" t="str">
        <f>IF(41=41,IF($U41="","",SUMPRODUCT(--ISNUMBER(SEARCH(" "&amp;$CR$2153:$CR$2252&amp;" ",$CJ41)))),"")</f>
        <v/>
      </c>
      <c r="CH41" s="581" t="str">
        <f>IF(41=41,IF($U41="","",SUMPRODUCT(--ISNUMBER(SEARCH(" "&amp;$CR$2253:$CR$2352&amp;" ",$CJ41)))),"")</f>
        <v/>
      </c>
      <c r="CI41" s="581" t="str">
        <f>IF(41=41,IF($U41="","",SUMPRODUCT(--ISNUMBER(SEARCH(" "&amp;$CR$2353:$CR$2395&amp;" ",$CJ41)))),"")</f>
        <v/>
      </c>
      <c r="CJ41" s="581"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c>
      <c r="CK41" s="581" t="str">
        <f>IF(41=41,IF($U41="","",SUMPRODUCT(--ISNUMBER(SEARCH(" "&amp;$CR$2412:$CR$2416&amp;" ",$CJ41)))),"")</f>
        <v/>
      </c>
      <c r="CL41" s="581" t="str">
        <f>IF(41=41,IF($U41="","",IF(SUM(CG41:CI41)&gt;0,"X",IF(CK41&gt;0,"?",""))),"")</f>
        <v/>
      </c>
      <c r="CM41" s="582"/>
      <c r="CN41" s="584" t="s">
        <v>2090</v>
      </c>
      <c r="CO41" s="584" t="s">
        <v>1887</v>
      </c>
      <c r="CP41" s="584" t="s">
        <v>1888</v>
      </c>
      <c r="CQ41" s="584" t="s">
        <v>2091</v>
      </c>
      <c r="CR41" s="584" t="s">
        <v>2091</v>
      </c>
      <c r="CS41" s="584" t="s">
        <v>1890</v>
      </c>
      <c r="CT41" s="584" t="s">
        <v>1891</v>
      </c>
      <c r="CU41" s="584" t="s">
        <v>1892</v>
      </c>
      <c r="CV41" s="585" t="s">
        <v>1893</v>
      </c>
    </row>
    <row r="42" spans="1:100" ht="21.95" customHeight="1" x14ac:dyDescent="0.25">
      <c r="A42" s="597">
        <v>36</v>
      </c>
      <c r="B42" s="598"/>
      <c r="C42" s="599" t="str">
        <f t="shared" si="0"/>
        <v/>
      </c>
      <c r="D42" s="600"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
      </c>
      <c r="E42" s="601" t="str">
        <f>IF(42=42,IF($B42="","",AF42),"")</f>
        <v/>
      </c>
      <c r="F42" s="601" t="str">
        <f>IF(42=42,IF($B42="","",AI42),"")</f>
        <v/>
      </c>
      <c r="G42" s="601" t="str">
        <f>IF(42=42,IF($B42="","",AM42),"")</f>
        <v/>
      </c>
      <c r="H42" s="601" t="str">
        <f>IF(42=42,IF($B42="","",AZ42),"")</f>
        <v/>
      </c>
      <c r="I42" s="601" t="str">
        <f>IF(42=42,IF($B42="","",BB42),"")</f>
        <v/>
      </c>
      <c r="J42" s="601" t="str">
        <f>IF(42=42,IF($B42="","",BF42),"")</f>
        <v/>
      </c>
      <c r="K42" s="601" t="str">
        <f>IF(42=42,IF($B42="","",BM42),"")</f>
        <v/>
      </c>
      <c r="L42" s="601" t="str">
        <f>IF(42=42,IF($B42="","",BQ42),"")</f>
        <v/>
      </c>
      <c r="M42" s="601" t="str">
        <f>IF(42=42,IF($B42="","",BT42),"")</f>
        <v/>
      </c>
      <c r="N42" s="601" t="str">
        <f>IF(42=42,IF($B42="","",BW42),"")</f>
        <v/>
      </c>
      <c r="O42" s="601" t="str">
        <f>IF(42=42,IF($B42="","",BZ42),"")</f>
        <v/>
      </c>
      <c r="P42" s="601" t="str">
        <f>IF(42=42,IF($B42="","",CC42),"")</f>
        <v/>
      </c>
      <c r="Q42" s="601" t="str">
        <f>IF(42=42,IF($B42="","",CF42),"")</f>
        <v/>
      </c>
      <c r="R42" s="601" t="str">
        <f>IF(42=42,IF($B42="","",CL42),"")</f>
        <v/>
      </c>
      <c r="S42" s="602"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581" t="str">
        <f>IF(42=42,IF($B42="","",$B42),"")</f>
        <v/>
      </c>
      <c r="V42" s="581" t="str">
        <f>IF(42=42,LOWER(CLEAN(SUBSTITUTE(SUBSTITUTE(SUBSTITUTE(SUBSTITUTE($U42,CHAR(160)," ")," "," "),CHAR(10)," "),CHAR(13)," "))),"")</f>
        <v/>
      </c>
      <c r="W42" s="581" t="str">
        <f>IF(42=42,SUBSTITUTE(SUBSTITUTE(SUBSTITUTE(SUBSTITUTE(SUBSTITUTE(SUBSTITUTE(SUBSTITUTE(SUBSTITUTE(SUBSTITUTE(SUBSTITUTE(SUBSTITUTE(SUBSTITUTE($V42,"œ","oe"),"æ","ae"),"à","a"),"á","a"),"â","a"),"ä","a"),"ã","a"),"ç","c"),"è","e"),"é","e"),"ê","e"),"ë","e"),"")</f>
        <v/>
      </c>
      <c r="X42" s="581" t="str">
        <f>IF(42=42,SUBSTITUTE(SUBSTITUTE(SUBSTITUTE(SUBSTITUTE(SUBSTITUTE(SUBSTITUTE(SUBSTITUTE(SUBSTITUTE(SUBSTITUTE(SUBSTITUTE(SUBSTITUTE(SUBSTITUTE(SUBSTITUTE(SUBSTITUTE(SUBSTITUTE(SUBSTITUTE($W42,"ì","i"),"í","i"),"î","i"),"ï","i"),"ñ","n"),"ò","o"),"ó","o"),"ô","o"),"ö","o"),"õ","o"),"ù","u"),"ú","u"),"û","u"),"ü","u"),"ý","y"),"ÿ","y"),"")</f>
        <v/>
      </c>
      <c r="Y42" s="581" t="str">
        <f>IF(42=42,SUBSTITUTE(SUBSTITUTE(SUBSTITUTE(SUBSTITUTE(SUBSTITUTE(SUBSTITUTE(SUBSTITUTE(SUBSTITUTE(SUBSTITUTE(SUBSTITUTE(SUBSTITUTE(SUBSTITUTE(SUBSTITUTE(SUBSTITUTE($X42,"’"," "),"`"," "),"–"," "),"—"," "),"-"," "),"'"," "),"/"," "),"_"," "),","," "),"."," "),"("," "),")"," "),";"," "),":"," "),"")</f>
        <v/>
      </c>
      <c r="Z42" s="581" t="str">
        <f>IF(42=42,SUBSTITUTE(SUBSTITUTE(SUBSTITUTE(SUBSTITUTE(SUBSTITUTE(SUBSTITUTE(SUBSTITUTE(SUBSTITUTE(SUBSTITUTE(SUBSTITUTE(SUBSTITUTE(SUBSTITUTE(SUBSTITUTE(SUBSTITUTE(SUBSTITUTE($Y42,"!"," "),"?"," "),"+"," "),"*"," "),"&amp;"," "),"["," "),"]"," "),"{"," "),"}"," "),"%"," "),"="," "),"\"," "),"|"," "),"&lt;"," "),"&gt;"," "),"")</f>
        <v/>
      </c>
      <c r="AA42" s="581" t="str">
        <f>IF(42=42," "&amp;TRIM(SUBSTITUTE(SUBSTITUTE(SUBSTITUTE(SUBSTITUTE(SUBSTITUTE(SUBSTITUTE($Z42,CHAR(34)," "),"  "," "),"  "," "),"  "," "),"  "," "),"  "," "))&amp;" ","")</f>
        <v xml:space="preserve">  </v>
      </c>
      <c r="AB42" s="581" t="str">
        <f>IF(42=42,IF($U42="","",SUMPRODUCT(--ISNUMBER(SEARCH(" "&amp;$CR$2:$CR$101&amp;" ",$AD42)))),"")</f>
        <v/>
      </c>
      <c r="AC42" s="581" t="str">
        <f>IF(42=42,IF($U42="","",SUMPRODUCT(--ISNUMBER(SEARCH(" "&amp;$CR$102:$CR$151&amp;" ",$AD42)))),"")</f>
        <v/>
      </c>
      <c r="AD42" s="581"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2" s="581" t="str">
        <f>IF(42=42,IF($U42="","",SUMPRODUCT(--ISNUMBER(SEARCH(" "&amp;$CR$184:$CR$205&amp;" ",$AD42)))),"")</f>
        <v/>
      </c>
      <c r="AF42" s="581" t="str">
        <f>IF(42=42,IF($U42="","",IF(SUM(AB42:AC42)+SUMPRODUCT(--ISNUMBER(SEARCH(" "&amp;$CR$2418:$CR$2420&amp;" ",$AD42)))&gt;0,"X",IF(AE42&gt;0,"?",""))),"")</f>
        <v/>
      </c>
      <c r="AG42" s="581" t="str">
        <f>IF(42=42,IF($U42="","",SUMPRODUCT(--ISNUMBER(SEARCH(" "&amp;$CR$206:$CR$305&amp;" ",$AA42)))),"")</f>
        <v/>
      </c>
      <c r="AH42" s="581" t="str">
        <f>IF(42=42,IF($U42="","",SUMPRODUCT(--ISNUMBER(SEARCH(" "&amp;$CR$306:$CR$340&amp;" ",$AA42)))),"")</f>
        <v/>
      </c>
      <c r="AI42" s="581" t="str">
        <f>IF(42=42,IF($U42="","",IF((SUM(AG42:AH42))-(0)&gt;0,"X",IF((0)-(0)&gt;0,"?",""))),"")</f>
        <v/>
      </c>
      <c r="AJ42" s="581" t="str">
        <f>IF(42=42,IF($U42="","",SUMPRODUCT(--ISNUMBER(SEARCH(" "&amp;$CR$341:$CR$398&amp;" ",$AA42)))),"")</f>
        <v/>
      </c>
      <c r="AK42" s="581" t="str">
        <f>IF(42=42,IF($U42="","",SUMPRODUCT(--ISNUMBER(SEARCH(" "&amp;$CR$399:$CR$426&amp;" ",$AL42)))+SUMPRODUCT(--ISNUMBER(SEARCH(" "&amp;$CR$2440:$CR$2453&amp;" ",$AL42)))),"")</f>
        <v/>
      </c>
      <c r="AL42" s="581" t="str">
        <f>IF(42=42,IF($U42="","",SUBSTITUTE(SUBSTITUTE(SUBSTITUTE(SUBSTITUTE(SUBSTITUTE(SUBSTITUTE(SUBSTITUTE(SUBSTITUTE(SUBSTITUTE(SUBSTITUTE(SUBSTITUTE(SUBSTITUTE(SUBSTITUTE($AA42," "&amp;$CR$433&amp;" "," ")," "&amp;$CR$431&amp;" "," ")," "&amp;$CR$2438&amp;" "," ")," "&amp;$CR$2439&amp;" "," ")," "&amp;$CR$428&amp;" "," ")," "&amp;$CR$432&amp;" "," ")," "&amp;$CR$434&amp;" "," ")," "&amp;$CR$429&amp;" "," ")," "&amp;$CR$427&amp;" "," ")," "&amp;$CR$1367&amp;" "," ")," "&amp;$CR$435&amp;" "," ")," "&amp;$CR$1366&amp;" "," ")," "&amp;$CR$430&amp;" "," ")),"")</f>
        <v/>
      </c>
      <c r="AM42" s="581" t="str">
        <f>IF(42=42,IF($U42="","",IF(AJ42&gt;0,"X",IF(AK42&gt;0,"?",""))),"")</f>
        <v/>
      </c>
      <c r="AN42" s="581" t="str">
        <f>IF(42=42,IF($U42="","",SUMPRODUCT(--ISNUMBER(SEARCH(" "&amp;$CR$436:$CR$535&amp;" ",$AX42)))),"")</f>
        <v/>
      </c>
      <c r="AO42" s="581" t="str">
        <f>IF(42=42,IF($U42="","",SUMPRODUCT(--ISNUMBER(SEARCH(" "&amp;$CR$536:$CR$635&amp;" ",$AX42)))),"")</f>
        <v/>
      </c>
      <c r="AP42" s="581" t="str">
        <f>IF(42=42,IF($U42="","",SUMPRODUCT(--ISNUMBER(SEARCH(" "&amp;$CR$636:$CR$735&amp;" ",$AX42)))),"")</f>
        <v/>
      </c>
      <c r="AQ42" s="581" t="str">
        <f>IF(42=42,IF($U42="","",SUMPRODUCT(--ISNUMBER(SEARCH(" "&amp;$CR$736:$CR$835&amp;" ",$AX42)))),"")</f>
        <v/>
      </c>
      <c r="AR42" s="581" t="str">
        <f>IF(42=42,IF($U42="","",SUMPRODUCT(--ISNUMBER(SEARCH(" "&amp;$CR$836:$CR$935&amp;" ",$AX42)))),"")</f>
        <v/>
      </c>
      <c r="AS42" s="581" t="str">
        <f>IF(42=42,IF($U42="","",SUMPRODUCT(--ISNUMBER(SEARCH(" "&amp;$CR$936:$CR$1035&amp;" ",$AX42)))),"")</f>
        <v/>
      </c>
      <c r="AT42" s="581" t="str">
        <f>IF(42=42,IF($U42="","",SUMPRODUCT(--ISNUMBER(SEARCH(" "&amp;$CR$1036:$CR$1135&amp;" ",$AX42)))),"")</f>
        <v/>
      </c>
      <c r="AU42" s="581" t="str">
        <f>IF(42=42,IF($U42="","",SUMPRODUCT(--ISNUMBER(SEARCH(" "&amp;$CR$1136:$CR$1235&amp;" ",$AX42)))),"")</f>
        <v/>
      </c>
      <c r="AV42" s="581" t="str">
        <f>IF(42=42,IF($U42="","",SUMPRODUCT(--ISNUMBER(SEARCH(" "&amp;$CR$1236:$CR$1335&amp;" ",$AX42)))),"")</f>
        <v/>
      </c>
      <c r="AW42" s="581" t="str">
        <f>IF(42=42,IF($U42="","",SUMPRODUCT(--ISNUMBER(SEARCH(" "&amp;$CR$1336:$CR$1363&amp;" ",$AX42)))),"")</f>
        <v/>
      </c>
      <c r="AX42" s="581" t="str">
        <f>IF(42=42,IF($U42="","",SUBSTITUTE(SUBSTITUTE(SUBSTITUTE(SUBSTITUTE(SUBSTITUTE(SUBSTITUTE(SUBSTITUTE(SUBSTITUTE(SUBSTITUTE($AA42," "&amp;$CR$1365&amp;" "," ")," "&amp;$CR$1364&amp;" "," ")," "&amp;$CR$1370&amp;" "," ")," "&amp;$CR$1371&amp;" "," ")," "&amp;$CR$1367&amp;" "," ")," "&amp;$CR$1369&amp;" "," ")," "&amp;$CR$1366&amp;" "," ")," "&amp;$CR$1368&amp;" "," ")," "&amp;$CR$1372&amp;" "," ")),"")</f>
        <v/>
      </c>
      <c r="AY42" s="581" t="str">
        <f>IF(42=42,IF($U42="","",SUMPRODUCT(--ISNUMBER(SEARCH(" "&amp;$CR$1373:$CR$1383&amp;" ",$AX42)))),"")</f>
        <v/>
      </c>
      <c r="AZ42" s="581" t="str">
        <f>IF(42=42,IF($U42="","",IF(SUM(AN42:AW42)+SUMPRODUCT(--ISNUMBER(SEARCH(" "&amp;$CR$2421:$CR$2422&amp;" ",$AX42)))&gt;0,"X",IF(AY42&gt;0,"?",""))),"")</f>
        <v/>
      </c>
      <c r="BA42" s="581" t="str">
        <f>IF(42=42,IF($U42="","",SUMPRODUCT(--ISNUMBER(SEARCH(" "&amp;$CR$1384:$CR$1404&amp;" ",$AA42)))),"")</f>
        <v/>
      </c>
      <c r="BB42" s="581" t="str">
        <f>IF(42=42,IF($U42="","",IF((BA42)-(0)&gt;0,"X",IF((0)-(0)&gt;0,"?",""))),"")</f>
        <v/>
      </c>
      <c r="BC42" s="581" t="str">
        <f>IF(42=42,IF($U42="","",SUMPRODUCT(--ISNUMBER(SEARCH(" "&amp;$CR$1405:$CR$1442&amp;" ",$BD42)))),"")</f>
        <v/>
      </c>
      <c r="BD42" s="581" t="str">
        <f>IF(42=42,IF($U42="","",SUBSTITUTE(SUBSTITUTE($AA42," "&amp;$CR$1443&amp;" "," ")," "&amp;$CR$1444&amp;" "," ")),"")</f>
        <v/>
      </c>
      <c r="BE42" s="581" t="str">
        <f>IF(42=42,IF($U42="","",SUMPRODUCT(--ISNUMBER(SEARCH(" "&amp;$CR$1445:$CR$1455&amp;" ",$BD42)))),"")</f>
        <v/>
      </c>
      <c r="BF42" s="581" t="str">
        <f>IF(42=42,IF($U42="","",IF(BC42&gt;0,"X",IF(BE42&gt;0,"?",""))),"")</f>
        <v/>
      </c>
      <c r="BG42" s="581" t="str">
        <f>IF(42=42,IF($U42="","",SUMPRODUCT(--ISNUMBER(SEARCH(" "&amp;$CR$1456:$CR$1555&amp;" ",$BJ42)))),"")</f>
        <v/>
      </c>
      <c r="BH42" s="581" t="str">
        <f>IF(42=42,IF($U42="","",SUMPRODUCT(--ISNUMBER(SEARCH(" "&amp;$CR$1556:$CR$1655&amp;" ",$BJ42)))),"")</f>
        <v/>
      </c>
      <c r="BI42" s="581" t="str">
        <f>IF(42=42,IF($U42="","",SUMPRODUCT(--ISNUMBER(SEARCH(" "&amp;$CR$1656:$CR$1739&amp;" ",$BJ42)))),"")</f>
        <v/>
      </c>
      <c r="BJ42" s="581"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2" s="581" t="str">
        <f>IF(42=42,IF($U42="","",SUMPRODUCT(--ISNUMBER(SEARCH(" "&amp;$CR$1790:$CR$1869&amp;" ",$BL42)))+SUMPRODUCT(--ISNUMBER(SEARCH(" "&amp;$CR$2440:$CR$2453&amp;" ",$BL42)))),"")</f>
        <v/>
      </c>
      <c r="BL42" s="581"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c>
      <c r="BM42" s="581" t="str">
        <f>IF(42=42,IF($U42="","",IF(SUM(BG42:BI42)+SUMPRODUCT(--ISNUMBER(SEARCH(" "&amp;$CR$2423:$CR$2424&amp;" ",$BJ42)))&gt;0,"X",IF(BK42&gt;0,"?",""))),"")</f>
        <v/>
      </c>
      <c r="BN42" s="581" t="str">
        <f>IF(42=42,IF($U42="","",SUMPRODUCT(--ISNUMBER(SEARCH(" "&amp;$CR$1879:$CR$1936&amp;" ",$BO42)))),"")</f>
        <v/>
      </c>
      <c r="BO42" s="581"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2" s="581" t="str">
        <f>IF(42=42,IF($U42="","",SUMPRODUCT(--ISNUMBER(SEARCH(" "&amp;$CR$1960:$CR$1976&amp;" ",$BO42)))),"")</f>
        <v/>
      </c>
      <c r="BQ42" s="581" t="str">
        <f>IF(42=42,IF($U42="","",IF(BN42&gt;0,"X",IF(BP42&gt;0,"?",""))),"")</f>
        <v/>
      </c>
      <c r="BR42" s="581" t="str">
        <f>IF(42=42,IF($U42="","",SUMPRODUCT(--ISNUMBER(SEARCH(" "&amp;$CR$1977:$CR$1990&amp;" ",$AA42)))),"")</f>
        <v/>
      </c>
      <c r="BS42" s="581" t="str">
        <f>IF(42=42,IF($U42="","",SUMPRODUCT(--ISNUMBER(SEARCH(" "&amp;$CR$1991:$CR$2005&amp;" ",$AA42)))),"")</f>
        <v/>
      </c>
      <c r="BT42" s="581" t="str">
        <f>IF(42=42,IF($U42="","",IF((BR42)-(0)&gt;0,"X",IF((BS42)-(0)&gt;0,"?",""))),"")</f>
        <v/>
      </c>
      <c r="BU42" s="581" t="str">
        <f>IF(42=42,IF($U42="","",SUMPRODUCT(--ISNUMBER(SEARCH(" "&amp;$CR$2006:$CR$2023&amp;" ",$AA42)))),"")</f>
        <v/>
      </c>
      <c r="BV42" s="581" t="str">
        <f>IF(42=42,IF($U42="","",SUMPRODUCT(--ISNUMBER(SEARCH(" "&amp;$CR$2024:$CR$2038&amp;" ",$AA42)))),"")</f>
        <v/>
      </c>
      <c r="BW42" s="581" t="str">
        <f>IF(42=42,IF($U42="","",IF((BU42)-(0)&gt;0,"X",IF((BV42)-(0)&gt;0,"?",""))),"")</f>
        <v/>
      </c>
      <c r="BX42" s="581" t="str">
        <f>IF(42=42,IF($U42="","",SUMPRODUCT(--ISNUMBER(SEARCH(" "&amp;$CR$2039:$CR$2057&amp;" ",$AA42)))),"")</f>
        <v/>
      </c>
      <c r="BY42" s="581" t="str">
        <f>IF(42=42,IF($U42="","",SUMPRODUCT(--ISNUMBER(SEARCH(" "&amp;$CR$2058:$CR$2072&amp;" ",$AA42)))),"")</f>
        <v/>
      </c>
      <c r="BZ42" s="581" t="str">
        <f>IF(42=42,IF($U42="","",IF((BX42)-(0)&gt;0,"X",IF((BY42)-(0)&gt;0,"?",""))),"")</f>
        <v/>
      </c>
      <c r="CA42" s="581" t="str">
        <f>IF(42=42,IF($U42="","",SUMPRODUCT(--ISNUMBER(SEARCH(" "&amp;$CR$2073:$CR$2093&amp;" ",$AA42)))),"")</f>
        <v/>
      </c>
      <c r="CB42" s="581" t="str">
        <f>IF(42=42,IF($U42="","",SUMPRODUCT(--ISNUMBER(SEARCH(" "&amp;$CR$2094:$CR$2133&amp;" ",SUBSTITUTE(SUBSTITUTE($AA42," "&amp;$CR$1367&amp;" "," ")," "&amp;$CR$1366&amp;" "," "))))+--ISNUMBER(SEARCH("poiré",$V42))),"")</f>
        <v/>
      </c>
      <c r="CC42" s="581" t="str">
        <f>IF(42=42,IF($U42="","",IF(OR(CA42&gt;0,ISNUMBER(SEARCH(" vinaigre de vin ",$AA42)),ISNUMBER(SEARCH(" vinaigre au vin ",$AA42))),"X",IF(CB42&gt;0,"?",""))),"")</f>
        <v/>
      </c>
      <c r="CD42" s="581" t="str">
        <f>IF(42=42,IF($U42="","",SUMPRODUCT(--ISNUMBER(SEARCH(" "&amp;$CR$2134:$CR$2146&amp;" ",$AA42)))),"")</f>
        <v/>
      </c>
      <c r="CE42" s="581" t="str">
        <f>IF(42=42,IF($U42="","",SUMPRODUCT(--ISNUMBER(SEARCH(" "&amp;$CR$2147:$CR$2152&amp;" ",$AA42)))),"")</f>
        <v/>
      </c>
      <c r="CF42" s="581" t="str">
        <f>IF(42=42,IF($U42="","",IF((CD42)-(0)&gt;0,"X",IF((CE42)-(0)&gt;0,"?",""))),"")</f>
        <v/>
      </c>
      <c r="CG42" s="581" t="str">
        <f>IF(42=42,IF($U42="","",SUMPRODUCT(--ISNUMBER(SEARCH(" "&amp;$CR$2153:$CR$2252&amp;" ",$CJ42)))),"")</f>
        <v/>
      </c>
      <c r="CH42" s="581" t="str">
        <f>IF(42=42,IF($U42="","",SUMPRODUCT(--ISNUMBER(SEARCH(" "&amp;$CR$2253:$CR$2352&amp;" ",$CJ42)))),"")</f>
        <v/>
      </c>
      <c r="CI42" s="581" t="str">
        <f>IF(42=42,IF($U42="","",SUMPRODUCT(--ISNUMBER(SEARCH(" "&amp;$CR$2353:$CR$2395&amp;" ",$CJ42)))),"")</f>
        <v/>
      </c>
      <c r="CJ42" s="581"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c>
      <c r="CK42" s="581" t="str">
        <f>IF(42=42,IF($U42="","",SUMPRODUCT(--ISNUMBER(SEARCH(" "&amp;$CR$2412:$CR$2416&amp;" ",$CJ42)))),"")</f>
        <v/>
      </c>
      <c r="CL42" s="581" t="str">
        <f>IF(42=42,IF($U42="","",IF(SUM(CG42:CI42)&gt;0,"X",IF(CK42&gt;0,"?",""))),"")</f>
        <v/>
      </c>
      <c r="CM42" s="582"/>
      <c r="CN42" s="584" t="s">
        <v>2092</v>
      </c>
      <c r="CO42" s="584" t="s">
        <v>1887</v>
      </c>
      <c r="CP42" s="584" t="s">
        <v>1888</v>
      </c>
      <c r="CQ42" s="584" t="s">
        <v>2093</v>
      </c>
      <c r="CR42" s="584" t="s">
        <v>2094</v>
      </c>
      <c r="CS42" s="584" t="s">
        <v>1890</v>
      </c>
      <c r="CT42" s="584" t="s">
        <v>1891</v>
      </c>
      <c r="CU42" s="584" t="s">
        <v>1892</v>
      </c>
      <c r="CV42" s="585" t="s">
        <v>1893</v>
      </c>
    </row>
    <row r="43" spans="1:100" ht="21.95" customHeight="1" x14ac:dyDescent="0.25">
      <c r="A43" s="597">
        <v>37</v>
      </c>
      <c r="B43" s="598"/>
      <c r="C43" s="599" t="str">
        <f t="shared" si="0"/>
        <v/>
      </c>
      <c r="D43" s="600"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601" t="str">
        <f>IF(43=43,IF($B43="","",AF43),"")</f>
        <v/>
      </c>
      <c r="F43" s="601" t="str">
        <f>IF(43=43,IF($B43="","",AI43),"")</f>
        <v/>
      </c>
      <c r="G43" s="601" t="str">
        <f>IF(43=43,IF($B43="","",AM43),"")</f>
        <v/>
      </c>
      <c r="H43" s="601" t="str">
        <f>IF(43=43,IF($B43="","",AZ43),"")</f>
        <v/>
      </c>
      <c r="I43" s="601" t="str">
        <f>IF(43=43,IF($B43="","",BB43),"")</f>
        <v/>
      </c>
      <c r="J43" s="601" t="str">
        <f>IF(43=43,IF($B43="","",BF43),"")</f>
        <v/>
      </c>
      <c r="K43" s="601" t="str">
        <f>IF(43=43,IF($B43="","",BM43),"")</f>
        <v/>
      </c>
      <c r="L43" s="601" t="str">
        <f>IF(43=43,IF($B43="","",BQ43),"")</f>
        <v/>
      </c>
      <c r="M43" s="601" t="str">
        <f>IF(43=43,IF($B43="","",BT43),"")</f>
        <v/>
      </c>
      <c r="N43" s="601" t="str">
        <f>IF(43=43,IF($B43="","",BW43),"")</f>
        <v/>
      </c>
      <c r="O43" s="601" t="str">
        <f>IF(43=43,IF($B43="","",BZ43),"")</f>
        <v/>
      </c>
      <c r="P43" s="601" t="str">
        <f>IF(43=43,IF($B43="","",CC43),"")</f>
        <v/>
      </c>
      <c r="Q43" s="601" t="str">
        <f>IF(43=43,IF($B43="","",CF43),"")</f>
        <v/>
      </c>
      <c r="R43" s="601" t="str">
        <f>IF(43=43,IF($B43="","",CL43),"")</f>
        <v/>
      </c>
      <c r="S43" s="602"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581" t="str">
        <f>IF(43=43,IF($B43="","",$B43),"")</f>
        <v/>
      </c>
      <c r="V43" s="581" t="str">
        <f>IF(43=43,LOWER(CLEAN(SUBSTITUTE(SUBSTITUTE(SUBSTITUTE(SUBSTITUTE($U43,CHAR(160)," ")," "," "),CHAR(10)," "),CHAR(13)," "))),"")</f>
        <v/>
      </c>
      <c r="W43" s="581" t="str">
        <f>IF(43=43,SUBSTITUTE(SUBSTITUTE(SUBSTITUTE(SUBSTITUTE(SUBSTITUTE(SUBSTITUTE(SUBSTITUTE(SUBSTITUTE(SUBSTITUTE(SUBSTITUTE(SUBSTITUTE(SUBSTITUTE($V43,"œ","oe"),"æ","ae"),"à","a"),"á","a"),"â","a"),"ä","a"),"ã","a"),"ç","c"),"è","e"),"é","e"),"ê","e"),"ë","e"),"")</f>
        <v/>
      </c>
      <c r="X43" s="581" t="str">
        <f>IF(43=43,SUBSTITUTE(SUBSTITUTE(SUBSTITUTE(SUBSTITUTE(SUBSTITUTE(SUBSTITUTE(SUBSTITUTE(SUBSTITUTE(SUBSTITUTE(SUBSTITUTE(SUBSTITUTE(SUBSTITUTE(SUBSTITUTE(SUBSTITUTE(SUBSTITUTE(SUBSTITUTE($W43,"ì","i"),"í","i"),"î","i"),"ï","i"),"ñ","n"),"ò","o"),"ó","o"),"ô","o"),"ö","o"),"õ","o"),"ù","u"),"ú","u"),"û","u"),"ü","u"),"ý","y"),"ÿ","y"),"")</f>
        <v/>
      </c>
      <c r="Y43" s="581" t="str">
        <f>IF(43=43,SUBSTITUTE(SUBSTITUTE(SUBSTITUTE(SUBSTITUTE(SUBSTITUTE(SUBSTITUTE(SUBSTITUTE(SUBSTITUTE(SUBSTITUTE(SUBSTITUTE(SUBSTITUTE(SUBSTITUTE(SUBSTITUTE(SUBSTITUTE($X43,"’"," "),"`"," "),"–"," "),"—"," "),"-"," "),"'"," "),"/"," "),"_"," "),","," "),"."," "),"("," "),")"," "),";"," "),":"," "),"")</f>
        <v/>
      </c>
      <c r="Z43" s="581" t="str">
        <f>IF(43=43,SUBSTITUTE(SUBSTITUTE(SUBSTITUTE(SUBSTITUTE(SUBSTITUTE(SUBSTITUTE(SUBSTITUTE(SUBSTITUTE(SUBSTITUTE(SUBSTITUTE(SUBSTITUTE(SUBSTITUTE(SUBSTITUTE(SUBSTITUTE(SUBSTITUTE($Y43,"!"," "),"?"," "),"+"," "),"*"," "),"&amp;"," "),"["," "),"]"," "),"{"," "),"}"," "),"%"," "),"="," "),"\"," "),"|"," "),"&lt;"," "),"&gt;"," "),"")</f>
        <v/>
      </c>
      <c r="AA43" s="581" t="str">
        <f>IF(43=43," "&amp;TRIM(SUBSTITUTE(SUBSTITUTE(SUBSTITUTE(SUBSTITUTE(SUBSTITUTE(SUBSTITUTE($Z43,CHAR(34)," "),"  "," "),"  "," "),"  "," "),"  "," "),"  "," "))&amp;" ","")</f>
        <v xml:space="preserve">  </v>
      </c>
      <c r="AB43" s="581" t="str">
        <f>IF(43=43,IF($U43="","",SUMPRODUCT(--ISNUMBER(SEARCH(" "&amp;$CR$2:$CR$101&amp;" ",$AD43)))),"")</f>
        <v/>
      </c>
      <c r="AC43" s="581" t="str">
        <f>IF(43=43,IF($U43="","",SUMPRODUCT(--ISNUMBER(SEARCH(" "&amp;$CR$102:$CR$151&amp;" ",$AD43)))),"")</f>
        <v/>
      </c>
      <c r="AD43" s="581"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3" s="581" t="str">
        <f>IF(43=43,IF($U43="","",SUMPRODUCT(--ISNUMBER(SEARCH(" "&amp;$CR$184:$CR$205&amp;" ",$AD43)))),"")</f>
        <v/>
      </c>
      <c r="AF43" s="581" t="str">
        <f>IF(43=43,IF($U43="","",IF(SUM(AB43:AC43)+SUMPRODUCT(--ISNUMBER(SEARCH(" "&amp;$CR$2418:$CR$2420&amp;" ",$AD43)))&gt;0,"X",IF(AE43&gt;0,"?",""))),"")</f>
        <v/>
      </c>
      <c r="AG43" s="581" t="str">
        <f>IF(43=43,IF($U43="","",SUMPRODUCT(--ISNUMBER(SEARCH(" "&amp;$CR$206:$CR$305&amp;" ",$AA43)))),"")</f>
        <v/>
      </c>
      <c r="AH43" s="581" t="str">
        <f>IF(43=43,IF($U43="","",SUMPRODUCT(--ISNUMBER(SEARCH(" "&amp;$CR$306:$CR$340&amp;" ",$AA43)))),"")</f>
        <v/>
      </c>
      <c r="AI43" s="581" t="str">
        <f>IF(43=43,IF($U43="","",IF((SUM(AG43:AH43))-(0)&gt;0,"X",IF((0)-(0)&gt;0,"?",""))),"")</f>
        <v/>
      </c>
      <c r="AJ43" s="581" t="str">
        <f>IF(43=43,IF($U43="","",SUMPRODUCT(--ISNUMBER(SEARCH(" "&amp;$CR$341:$CR$398&amp;" ",$AA43)))),"")</f>
        <v/>
      </c>
      <c r="AK43" s="581" t="str">
        <f>IF(43=43,IF($U43="","",SUMPRODUCT(--ISNUMBER(SEARCH(" "&amp;$CR$399:$CR$426&amp;" ",$AL43)))+SUMPRODUCT(--ISNUMBER(SEARCH(" "&amp;$CR$2440:$CR$2453&amp;" ",$AL43)))),"")</f>
        <v/>
      </c>
      <c r="AL43" s="581" t="str">
        <f>IF(43=43,IF($U43="","",SUBSTITUTE(SUBSTITUTE(SUBSTITUTE(SUBSTITUTE(SUBSTITUTE(SUBSTITUTE(SUBSTITUTE(SUBSTITUTE(SUBSTITUTE(SUBSTITUTE(SUBSTITUTE(SUBSTITUTE(SUBSTITUTE($AA43," "&amp;$CR$433&amp;" "," ")," "&amp;$CR$431&amp;" "," ")," "&amp;$CR$2438&amp;" "," ")," "&amp;$CR$2439&amp;" "," ")," "&amp;$CR$428&amp;" "," ")," "&amp;$CR$432&amp;" "," ")," "&amp;$CR$434&amp;" "," ")," "&amp;$CR$429&amp;" "," ")," "&amp;$CR$427&amp;" "," ")," "&amp;$CR$1367&amp;" "," ")," "&amp;$CR$435&amp;" "," ")," "&amp;$CR$1366&amp;" "," ")," "&amp;$CR$430&amp;" "," ")),"")</f>
        <v/>
      </c>
      <c r="AM43" s="581" t="str">
        <f>IF(43=43,IF($U43="","",IF(AJ43&gt;0,"X",IF(AK43&gt;0,"?",""))),"")</f>
        <v/>
      </c>
      <c r="AN43" s="581" t="str">
        <f>IF(43=43,IF($U43="","",SUMPRODUCT(--ISNUMBER(SEARCH(" "&amp;$CR$436:$CR$535&amp;" ",$AX43)))),"")</f>
        <v/>
      </c>
      <c r="AO43" s="581" t="str">
        <f>IF(43=43,IF($U43="","",SUMPRODUCT(--ISNUMBER(SEARCH(" "&amp;$CR$536:$CR$635&amp;" ",$AX43)))),"")</f>
        <v/>
      </c>
      <c r="AP43" s="581" t="str">
        <f>IF(43=43,IF($U43="","",SUMPRODUCT(--ISNUMBER(SEARCH(" "&amp;$CR$636:$CR$735&amp;" ",$AX43)))),"")</f>
        <v/>
      </c>
      <c r="AQ43" s="581" t="str">
        <f>IF(43=43,IF($U43="","",SUMPRODUCT(--ISNUMBER(SEARCH(" "&amp;$CR$736:$CR$835&amp;" ",$AX43)))),"")</f>
        <v/>
      </c>
      <c r="AR43" s="581" t="str">
        <f>IF(43=43,IF($U43="","",SUMPRODUCT(--ISNUMBER(SEARCH(" "&amp;$CR$836:$CR$935&amp;" ",$AX43)))),"")</f>
        <v/>
      </c>
      <c r="AS43" s="581" t="str">
        <f>IF(43=43,IF($U43="","",SUMPRODUCT(--ISNUMBER(SEARCH(" "&amp;$CR$936:$CR$1035&amp;" ",$AX43)))),"")</f>
        <v/>
      </c>
      <c r="AT43" s="581" t="str">
        <f>IF(43=43,IF($U43="","",SUMPRODUCT(--ISNUMBER(SEARCH(" "&amp;$CR$1036:$CR$1135&amp;" ",$AX43)))),"")</f>
        <v/>
      </c>
      <c r="AU43" s="581" t="str">
        <f>IF(43=43,IF($U43="","",SUMPRODUCT(--ISNUMBER(SEARCH(" "&amp;$CR$1136:$CR$1235&amp;" ",$AX43)))),"")</f>
        <v/>
      </c>
      <c r="AV43" s="581" t="str">
        <f>IF(43=43,IF($U43="","",SUMPRODUCT(--ISNUMBER(SEARCH(" "&amp;$CR$1236:$CR$1335&amp;" ",$AX43)))),"")</f>
        <v/>
      </c>
      <c r="AW43" s="581" t="str">
        <f>IF(43=43,IF($U43="","",SUMPRODUCT(--ISNUMBER(SEARCH(" "&amp;$CR$1336:$CR$1363&amp;" ",$AX43)))),"")</f>
        <v/>
      </c>
      <c r="AX43" s="581" t="str">
        <f>IF(43=43,IF($U43="","",SUBSTITUTE(SUBSTITUTE(SUBSTITUTE(SUBSTITUTE(SUBSTITUTE(SUBSTITUTE(SUBSTITUTE(SUBSTITUTE(SUBSTITUTE($AA43," "&amp;$CR$1365&amp;" "," ")," "&amp;$CR$1364&amp;" "," ")," "&amp;$CR$1370&amp;" "," ")," "&amp;$CR$1371&amp;" "," ")," "&amp;$CR$1367&amp;" "," ")," "&amp;$CR$1369&amp;" "," ")," "&amp;$CR$1366&amp;" "," ")," "&amp;$CR$1368&amp;" "," ")," "&amp;$CR$1372&amp;" "," ")),"")</f>
        <v/>
      </c>
      <c r="AY43" s="581" t="str">
        <f>IF(43=43,IF($U43="","",SUMPRODUCT(--ISNUMBER(SEARCH(" "&amp;$CR$1373:$CR$1383&amp;" ",$AX43)))),"")</f>
        <v/>
      </c>
      <c r="AZ43" s="581" t="str">
        <f>IF(43=43,IF($U43="","",IF(SUM(AN43:AW43)+SUMPRODUCT(--ISNUMBER(SEARCH(" "&amp;$CR$2421:$CR$2422&amp;" ",$AX43)))&gt;0,"X",IF(AY43&gt;0,"?",""))),"")</f>
        <v/>
      </c>
      <c r="BA43" s="581" t="str">
        <f>IF(43=43,IF($U43="","",SUMPRODUCT(--ISNUMBER(SEARCH(" "&amp;$CR$1384:$CR$1404&amp;" ",$AA43)))),"")</f>
        <v/>
      </c>
      <c r="BB43" s="581" t="str">
        <f>IF(43=43,IF($U43="","",IF((BA43)-(0)&gt;0,"X",IF((0)-(0)&gt;0,"?",""))),"")</f>
        <v/>
      </c>
      <c r="BC43" s="581" t="str">
        <f>IF(43=43,IF($U43="","",SUMPRODUCT(--ISNUMBER(SEARCH(" "&amp;$CR$1405:$CR$1442&amp;" ",$BD43)))),"")</f>
        <v/>
      </c>
      <c r="BD43" s="581" t="str">
        <f>IF(43=43,IF($U43="","",SUBSTITUTE(SUBSTITUTE($AA43," "&amp;$CR$1443&amp;" "," ")," "&amp;$CR$1444&amp;" "," ")),"")</f>
        <v/>
      </c>
      <c r="BE43" s="581" t="str">
        <f>IF(43=43,IF($U43="","",SUMPRODUCT(--ISNUMBER(SEARCH(" "&amp;$CR$1445:$CR$1455&amp;" ",$BD43)))),"")</f>
        <v/>
      </c>
      <c r="BF43" s="581" t="str">
        <f>IF(43=43,IF($U43="","",IF(BC43&gt;0,"X",IF(BE43&gt;0,"?",""))),"")</f>
        <v/>
      </c>
      <c r="BG43" s="581" t="str">
        <f>IF(43=43,IF($U43="","",SUMPRODUCT(--ISNUMBER(SEARCH(" "&amp;$CR$1456:$CR$1555&amp;" ",$BJ43)))),"")</f>
        <v/>
      </c>
      <c r="BH43" s="581" t="str">
        <f>IF(43=43,IF($U43="","",SUMPRODUCT(--ISNUMBER(SEARCH(" "&amp;$CR$1556:$CR$1655&amp;" ",$BJ43)))),"")</f>
        <v/>
      </c>
      <c r="BI43" s="581" t="str">
        <f>IF(43=43,IF($U43="","",SUMPRODUCT(--ISNUMBER(SEARCH(" "&amp;$CR$1656:$CR$1739&amp;" ",$BJ43)))),"")</f>
        <v/>
      </c>
      <c r="BJ43" s="581"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3" s="581" t="str">
        <f>IF(43=43,IF($U43="","",SUMPRODUCT(--ISNUMBER(SEARCH(" "&amp;$CR$1790:$CR$1869&amp;" ",$BL43)))+SUMPRODUCT(--ISNUMBER(SEARCH(" "&amp;$CR$2440:$CR$2453&amp;" ",$BL43)))),"")</f>
        <v/>
      </c>
      <c r="BL43" s="581"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c>
      <c r="BM43" s="581" t="str">
        <f>IF(43=43,IF($U43="","",IF(SUM(BG43:BI43)+SUMPRODUCT(--ISNUMBER(SEARCH(" "&amp;$CR$2423:$CR$2424&amp;" ",$BJ43)))&gt;0,"X",IF(BK43&gt;0,"?",""))),"")</f>
        <v/>
      </c>
      <c r="BN43" s="581" t="str">
        <f>IF(43=43,IF($U43="","",SUMPRODUCT(--ISNUMBER(SEARCH(" "&amp;$CR$1879:$CR$1936&amp;" ",$BO43)))),"")</f>
        <v/>
      </c>
      <c r="BO43" s="581"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3" s="581" t="str">
        <f>IF(43=43,IF($U43="","",SUMPRODUCT(--ISNUMBER(SEARCH(" "&amp;$CR$1960:$CR$1976&amp;" ",$BO43)))),"")</f>
        <v/>
      </c>
      <c r="BQ43" s="581" t="str">
        <f>IF(43=43,IF($U43="","",IF(BN43&gt;0,"X",IF(BP43&gt;0,"?",""))),"")</f>
        <v/>
      </c>
      <c r="BR43" s="581" t="str">
        <f>IF(43=43,IF($U43="","",SUMPRODUCT(--ISNUMBER(SEARCH(" "&amp;$CR$1977:$CR$1990&amp;" ",$AA43)))),"")</f>
        <v/>
      </c>
      <c r="BS43" s="581" t="str">
        <f>IF(43=43,IF($U43="","",SUMPRODUCT(--ISNUMBER(SEARCH(" "&amp;$CR$1991:$CR$2005&amp;" ",$AA43)))),"")</f>
        <v/>
      </c>
      <c r="BT43" s="581" t="str">
        <f>IF(43=43,IF($U43="","",IF((BR43)-(0)&gt;0,"X",IF((BS43)-(0)&gt;0,"?",""))),"")</f>
        <v/>
      </c>
      <c r="BU43" s="581" t="str">
        <f>IF(43=43,IF($U43="","",SUMPRODUCT(--ISNUMBER(SEARCH(" "&amp;$CR$2006:$CR$2023&amp;" ",$AA43)))),"")</f>
        <v/>
      </c>
      <c r="BV43" s="581" t="str">
        <f>IF(43=43,IF($U43="","",SUMPRODUCT(--ISNUMBER(SEARCH(" "&amp;$CR$2024:$CR$2038&amp;" ",$AA43)))),"")</f>
        <v/>
      </c>
      <c r="BW43" s="581" t="str">
        <f>IF(43=43,IF($U43="","",IF((BU43)-(0)&gt;0,"X",IF((BV43)-(0)&gt;0,"?",""))),"")</f>
        <v/>
      </c>
      <c r="BX43" s="581" t="str">
        <f>IF(43=43,IF($U43="","",SUMPRODUCT(--ISNUMBER(SEARCH(" "&amp;$CR$2039:$CR$2057&amp;" ",$AA43)))),"")</f>
        <v/>
      </c>
      <c r="BY43" s="581" t="str">
        <f>IF(43=43,IF($U43="","",SUMPRODUCT(--ISNUMBER(SEARCH(" "&amp;$CR$2058:$CR$2072&amp;" ",$AA43)))),"")</f>
        <v/>
      </c>
      <c r="BZ43" s="581" t="str">
        <f>IF(43=43,IF($U43="","",IF((BX43)-(0)&gt;0,"X",IF((BY43)-(0)&gt;0,"?",""))),"")</f>
        <v/>
      </c>
      <c r="CA43" s="581" t="str">
        <f>IF(43=43,IF($U43="","",SUMPRODUCT(--ISNUMBER(SEARCH(" "&amp;$CR$2073:$CR$2093&amp;" ",$AA43)))),"")</f>
        <v/>
      </c>
      <c r="CB43" s="581" t="str">
        <f>IF(43=43,IF($U43="","",SUMPRODUCT(--ISNUMBER(SEARCH(" "&amp;$CR$2094:$CR$2133&amp;" ",SUBSTITUTE(SUBSTITUTE($AA43," "&amp;$CR$1367&amp;" "," ")," "&amp;$CR$1366&amp;" "," "))))+--ISNUMBER(SEARCH("poiré",$V43))),"")</f>
        <v/>
      </c>
      <c r="CC43" s="581" t="str">
        <f>IF(43=43,IF($U43="","",IF(OR(CA43&gt;0,ISNUMBER(SEARCH(" vinaigre de vin ",$AA43)),ISNUMBER(SEARCH(" vinaigre au vin ",$AA43))),"X",IF(CB43&gt;0,"?",""))),"")</f>
        <v/>
      </c>
      <c r="CD43" s="581" t="str">
        <f>IF(43=43,IF($U43="","",SUMPRODUCT(--ISNUMBER(SEARCH(" "&amp;$CR$2134:$CR$2146&amp;" ",$AA43)))),"")</f>
        <v/>
      </c>
      <c r="CE43" s="581" t="str">
        <f>IF(43=43,IF($U43="","",SUMPRODUCT(--ISNUMBER(SEARCH(" "&amp;$CR$2147:$CR$2152&amp;" ",$AA43)))),"")</f>
        <v/>
      </c>
      <c r="CF43" s="581" t="str">
        <f>IF(43=43,IF($U43="","",IF((CD43)-(0)&gt;0,"X",IF((CE43)-(0)&gt;0,"?",""))),"")</f>
        <v/>
      </c>
      <c r="CG43" s="581" t="str">
        <f>IF(43=43,IF($U43="","",SUMPRODUCT(--ISNUMBER(SEARCH(" "&amp;$CR$2153:$CR$2252&amp;" ",$CJ43)))),"")</f>
        <v/>
      </c>
      <c r="CH43" s="581" t="str">
        <f>IF(43=43,IF($U43="","",SUMPRODUCT(--ISNUMBER(SEARCH(" "&amp;$CR$2253:$CR$2352&amp;" ",$CJ43)))),"")</f>
        <v/>
      </c>
      <c r="CI43" s="581" t="str">
        <f>IF(43=43,IF($U43="","",SUMPRODUCT(--ISNUMBER(SEARCH(" "&amp;$CR$2353:$CR$2395&amp;" ",$CJ43)))),"")</f>
        <v/>
      </c>
      <c r="CJ43" s="581"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c>
      <c r="CK43" s="581" t="str">
        <f>IF(43=43,IF($U43="","",SUMPRODUCT(--ISNUMBER(SEARCH(" "&amp;$CR$2412:$CR$2416&amp;" ",$CJ43)))),"")</f>
        <v/>
      </c>
      <c r="CL43" s="581" t="str">
        <f>IF(43=43,IF($U43="","",IF(SUM(CG43:CI43)&gt;0,"X",IF(CK43&gt;0,"?",""))),"")</f>
        <v/>
      </c>
      <c r="CM43" s="582"/>
      <c r="CN43" s="584" t="s">
        <v>2095</v>
      </c>
      <c r="CO43" s="584" t="s">
        <v>1887</v>
      </c>
      <c r="CP43" s="584" t="s">
        <v>1888</v>
      </c>
      <c r="CQ43" s="584" t="s">
        <v>2096</v>
      </c>
      <c r="CR43" s="584" t="s">
        <v>2096</v>
      </c>
      <c r="CS43" s="584" t="s">
        <v>1890</v>
      </c>
      <c r="CT43" s="584" t="s">
        <v>1891</v>
      </c>
      <c r="CU43" s="584" t="s">
        <v>1892</v>
      </c>
      <c r="CV43" s="585" t="s">
        <v>1893</v>
      </c>
    </row>
    <row r="44" spans="1:100" ht="21.95" customHeight="1" x14ac:dyDescent="0.25">
      <c r="A44" s="597">
        <v>38</v>
      </c>
      <c r="B44" s="598"/>
      <c r="C44" s="599" t="str">
        <f t="shared" si="0"/>
        <v/>
      </c>
      <c r="D44" s="600"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
      </c>
      <c r="E44" s="601" t="str">
        <f>IF(44=44,IF($B44="","",AF44),"")</f>
        <v/>
      </c>
      <c r="F44" s="601" t="str">
        <f>IF(44=44,IF($B44="","",AI44),"")</f>
        <v/>
      </c>
      <c r="G44" s="601" t="str">
        <f>IF(44=44,IF($B44="","",AM44),"")</f>
        <v/>
      </c>
      <c r="H44" s="601" t="str">
        <f>IF(44=44,IF($B44="","",AZ44),"")</f>
        <v/>
      </c>
      <c r="I44" s="601" t="str">
        <f>IF(44=44,IF($B44="","",BB44),"")</f>
        <v/>
      </c>
      <c r="J44" s="601" t="str">
        <f>IF(44=44,IF($B44="","",BF44),"")</f>
        <v/>
      </c>
      <c r="K44" s="601" t="str">
        <f>IF(44=44,IF($B44="","",BM44),"")</f>
        <v/>
      </c>
      <c r="L44" s="601" t="str">
        <f>IF(44=44,IF($B44="","",BQ44),"")</f>
        <v/>
      </c>
      <c r="M44" s="601" t="str">
        <f>IF(44=44,IF($B44="","",BT44),"")</f>
        <v/>
      </c>
      <c r="N44" s="601" t="str">
        <f>IF(44=44,IF($B44="","",BW44),"")</f>
        <v/>
      </c>
      <c r="O44" s="601" t="str">
        <f>IF(44=44,IF($B44="","",BZ44),"")</f>
        <v/>
      </c>
      <c r="P44" s="601" t="str">
        <f>IF(44=44,IF($B44="","",CC44),"")</f>
        <v/>
      </c>
      <c r="Q44" s="601" t="str">
        <f>IF(44=44,IF($B44="","",CF44),"")</f>
        <v/>
      </c>
      <c r="R44" s="601" t="str">
        <f>IF(44=44,IF($B44="","",CL44),"")</f>
        <v/>
      </c>
      <c r="S44" s="602"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581" t="str">
        <f>IF(44=44,IF($B44="","",$B44),"")</f>
        <v/>
      </c>
      <c r="V44" s="581" t="str">
        <f>IF(44=44,LOWER(CLEAN(SUBSTITUTE(SUBSTITUTE(SUBSTITUTE(SUBSTITUTE($U44,CHAR(160)," ")," "," "),CHAR(10)," "),CHAR(13)," "))),"")</f>
        <v/>
      </c>
      <c r="W44" s="581" t="str">
        <f>IF(44=44,SUBSTITUTE(SUBSTITUTE(SUBSTITUTE(SUBSTITUTE(SUBSTITUTE(SUBSTITUTE(SUBSTITUTE(SUBSTITUTE(SUBSTITUTE(SUBSTITUTE(SUBSTITUTE(SUBSTITUTE($V44,"œ","oe"),"æ","ae"),"à","a"),"á","a"),"â","a"),"ä","a"),"ã","a"),"ç","c"),"è","e"),"é","e"),"ê","e"),"ë","e"),"")</f>
        <v/>
      </c>
      <c r="X44" s="581" t="str">
        <f>IF(44=44,SUBSTITUTE(SUBSTITUTE(SUBSTITUTE(SUBSTITUTE(SUBSTITUTE(SUBSTITUTE(SUBSTITUTE(SUBSTITUTE(SUBSTITUTE(SUBSTITUTE(SUBSTITUTE(SUBSTITUTE(SUBSTITUTE(SUBSTITUTE(SUBSTITUTE(SUBSTITUTE($W44,"ì","i"),"í","i"),"î","i"),"ï","i"),"ñ","n"),"ò","o"),"ó","o"),"ô","o"),"ö","o"),"õ","o"),"ù","u"),"ú","u"),"û","u"),"ü","u"),"ý","y"),"ÿ","y"),"")</f>
        <v/>
      </c>
      <c r="Y44" s="581" t="str">
        <f>IF(44=44,SUBSTITUTE(SUBSTITUTE(SUBSTITUTE(SUBSTITUTE(SUBSTITUTE(SUBSTITUTE(SUBSTITUTE(SUBSTITUTE(SUBSTITUTE(SUBSTITUTE(SUBSTITUTE(SUBSTITUTE(SUBSTITUTE(SUBSTITUTE($X44,"’"," "),"`"," "),"–"," "),"—"," "),"-"," "),"'"," "),"/"," "),"_"," "),","," "),"."," "),"("," "),")"," "),";"," "),":"," "),"")</f>
        <v/>
      </c>
      <c r="Z44" s="581" t="str">
        <f>IF(44=44,SUBSTITUTE(SUBSTITUTE(SUBSTITUTE(SUBSTITUTE(SUBSTITUTE(SUBSTITUTE(SUBSTITUTE(SUBSTITUTE(SUBSTITUTE(SUBSTITUTE(SUBSTITUTE(SUBSTITUTE(SUBSTITUTE(SUBSTITUTE(SUBSTITUTE($Y44,"!"," "),"?"," "),"+"," "),"*"," "),"&amp;"," "),"["," "),"]"," "),"{"," "),"}"," "),"%"," "),"="," "),"\"," "),"|"," "),"&lt;"," "),"&gt;"," "),"")</f>
        <v/>
      </c>
      <c r="AA44" s="581" t="str">
        <f>IF(44=44," "&amp;TRIM(SUBSTITUTE(SUBSTITUTE(SUBSTITUTE(SUBSTITUTE(SUBSTITUTE(SUBSTITUTE($Z44,CHAR(34)," "),"  "," "),"  "," "),"  "," "),"  "," "),"  "," "))&amp;" ","")</f>
        <v xml:space="preserve">  </v>
      </c>
      <c r="AB44" s="581" t="str">
        <f>IF(44=44,IF($U44="","",SUMPRODUCT(--ISNUMBER(SEARCH(" "&amp;$CR$2:$CR$101&amp;" ",$AD44)))),"")</f>
        <v/>
      </c>
      <c r="AC44" s="581" t="str">
        <f>IF(44=44,IF($U44="","",SUMPRODUCT(--ISNUMBER(SEARCH(" "&amp;$CR$102:$CR$151&amp;" ",$AD44)))),"")</f>
        <v/>
      </c>
      <c r="AD44" s="581"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4" s="581" t="str">
        <f>IF(44=44,IF($U44="","",SUMPRODUCT(--ISNUMBER(SEARCH(" "&amp;$CR$184:$CR$205&amp;" ",$AD44)))),"")</f>
        <v/>
      </c>
      <c r="AF44" s="581" t="str">
        <f>IF(44=44,IF($U44="","",IF(SUM(AB44:AC44)+SUMPRODUCT(--ISNUMBER(SEARCH(" "&amp;$CR$2418:$CR$2420&amp;" ",$AD44)))&gt;0,"X",IF(AE44&gt;0,"?",""))),"")</f>
        <v/>
      </c>
      <c r="AG44" s="581" t="str">
        <f>IF(44=44,IF($U44="","",SUMPRODUCT(--ISNUMBER(SEARCH(" "&amp;$CR$206:$CR$305&amp;" ",$AA44)))),"")</f>
        <v/>
      </c>
      <c r="AH44" s="581" t="str">
        <f>IF(44=44,IF($U44="","",SUMPRODUCT(--ISNUMBER(SEARCH(" "&amp;$CR$306:$CR$340&amp;" ",$AA44)))),"")</f>
        <v/>
      </c>
      <c r="AI44" s="581" t="str">
        <f>IF(44=44,IF($U44="","",IF((SUM(AG44:AH44))-(0)&gt;0,"X",IF((0)-(0)&gt;0,"?",""))),"")</f>
        <v/>
      </c>
      <c r="AJ44" s="581" t="str">
        <f>IF(44=44,IF($U44="","",SUMPRODUCT(--ISNUMBER(SEARCH(" "&amp;$CR$341:$CR$398&amp;" ",$AA44)))),"")</f>
        <v/>
      </c>
      <c r="AK44" s="581" t="str">
        <f>IF(44=44,IF($U44="","",SUMPRODUCT(--ISNUMBER(SEARCH(" "&amp;$CR$399:$CR$426&amp;" ",$AL44)))+SUMPRODUCT(--ISNUMBER(SEARCH(" "&amp;$CR$2440:$CR$2453&amp;" ",$AL44)))),"")</f>
        <v/>
      </c>
      <c r="AL44" s="581" t="str">
        <f>IF(44=44,IF($U44="","",SUBSTITUTE(SUBSTITUTE(SUBSTITUTE(SUBSTITUTE(SUBSTITUTE(SUBSTITUTE(SUBSTITUTE(SUBSTITUTE(SUBSTITUTE(SUBSTITUTE(SUBSTITUTE(SUBSTITUTE(SUBSTITUTE($AA44," "&amp;$CR$433&amp;" "," ")," "&amp;$CR$431&amp;" "," ")," "&amp;$CR$2438&amp;" "," ")," "&amp;$CR$2439&amp;" "," ")," "&amp;$CR$428&amp;" "," ")," "&amp;$CR$432&amp;" "," ")," "&amp;$CR$434&amp;" "," ")," "&amp;$CR$429&amp;" "," ")," "&amp;$CR$427&amp;" "," ")," "&amp;$CR$1367&amp;" "," ")," "&amp;$CR$435&amp;" "," ")," "&amp;$CR$1366&amp;" "," ")," "&amp;$CR$430&amp;" "," ")),"")</f>
        <v/>
      </c>
      <c r="AM44" s="581" t="str">
        <f>IF(44=44,IF($U44="","",IF(AJ44&gt;0,"X",IF(AK44&gt;0,"?",""))),"")</f>
        <v/>
      </c>
      <c r="AN44" s="581" t="str">
        <f>IF(44=44,IF($U44="","",SUMPRODUCT(--ISNUMBER(SEARCH(" "&amp;$CR$436:$CR$535&amp;" ",$AX44)))),"")</f>
        <v/>
      </c>
      <c r="AO44" s="581" t="str">
        <f>IF(44=44,IF($U44="","",SUMPRODUCT(--ISNUMBER(SEARCH(" "&amp;$CR$536:$CR$635&amp;" ",$AX44)))),"")</f>
        <v/>
      </c>
      <c r="AP44" s="581" t="str">
        <f>IF(44=44,IF($U44="","",SUMPRODUCT(--ISNUMBER(SEARCH(" "&amp;$CR$636:$CR$735&amp;" ",$AX44)))),"")</f>
        <v/>
      </c>
      <c r="AQ44" s="581" t="str">
        <f>IF(44=44,IF($U44="","",SUMPRODUCT(--ISNUMBER(SEARCH(" "&amp;$CR$736:$CR$835&amp;" ",$AX44)))),"")</f>
        <v/>
      </c>
      <c r="AR44" s="581" t="str">
        <f>IF(44=44,IF($U44="","",SUMPRODUCT(--ISNUMBER(SEARCH(" "&amp;$CR$836:$CR$935&amp;" ",$AX44)))),"")</f>
        <v/>
      </c>
      <c r="AS44" s="581" t="str">
        <f>IF(44=44,IF($U44="","",SUMPRODUCT(--ISNUMBER(SEARCH(" "&amp;$CR$936:$CR$1035&amp;" ",$AX44)))),"")</f>
        <v/>
      </c>
      <c r="AT44" s="581" t="str">
        <f>IF(44=44,IF($U44="","",SUMPRODUCT(--ISNUMBER(SEARCH(" "&amp;$CR$1036:$CR$1135&amp;" ",$AX44)))),"")</f>
        <v/>
      </c>
      <c r="AU44" s="581" t="str">
        <f>IF(44=44,IF($U44="","",SUMPRODUCT(--ISNUMBER(SEARCH(" "&amp;$CR$1136:$CR$1235&amp;" ",$AX44)))),"")</f>
        <v/>
      </c>
      <c r="AV44" s="581" t="str">
        <f>IF(44=44,IF($U44="","",SUMPRODUCT(--ISNUMBER(SEARCH(" "&amp;$CR$1236:$CR$1335&amp;" ",$AX44)))),"")</f>
        <v/>
      </c>
      <c r="AW44" s="581" t="str">
        <f>IF(44=44,IF($U44="","",SUMPRODUCT(--ISNUMBER(SEARCH(" "&amp;$CR$1336:$CR$1363&amp;" ",$AX44)))),"")</f>
        <v/>
      </c>
      <c r="AX44" s="581" t="str">
        <f>IF(44=44,IF($U44="","",SUBSTITUTE(SUBSTITUTE(SUBSTITUTE(SUBSTITUTE(SUBSTITUTE(SUBSTITUTE(SUBSTITUTE(SUBSTITUTE(SUBSTITUTE($AA44," "&amp;$CR$1365&amp;" "," ")," "&amp;$CR$1364&amp;" "," ")," "&amp;$CR$1370&amp;" "," ")," "&amp;$CR$1371&amp;" "," ")," "&amp;$CR$1367&amp;" "," ")," "&amp;$CR$1369&amp;" "," ")," "&amp;$CR$1366&amp;" "," ")," "&amp;$CR$1368&amp;" "," ")," "&amp;$CR$1372&amp;" "," ")),"")</f>
        <v/>
      </c>
      <c r="AY44" s="581" t="str">
        <f>IF(44=44,IF($U44="","",SUMPRODUCT(--ISNUMBER(SEARCH(" "&amp;$CR$1373:$CR$1383&amp;" ",$AX44)))),"")</f>
        <v/>
      </c>
      <c r="AZ44" s="581" t="str">
        <f>IF(44=44,IF($U44="","",IF(SUM(AN44:AW44)+SUMPRODUCT(--ISNUMBER(SEARCH(" "&amp;$CR$2421:$CR$2422&amp;" ",$AX44)))&gt;0,"X",IF(AY44&gt;0,"?",""))),"")</f>
        <v/>
      </c>
      <c r="BA44" s="581" t="str">
        <f>IF(44=44,IF($U44="","",SUMPRODUCT(--ISNUMBER(SEARCH(" "&amp;$CR$1384:$CR$1404&amp;" ",$AA44)))),"")</f>
        <v/>
      </c>
      <c r="BB44" s="581" t="str">
        <f>IF(44=44,IF($U44="","",IF((BA44)-(0)&gt;0,"X",IF((0)-(0)&gt;0,"?",""))),"")</f>
        <v/>
      </c>
      <c r="BC44" s="581" t="str">
        <f>IF(44=44,IF($U44="","",SUMPRODUCT(--ISNUMBER(SEARCH(" "&amp;$CR$1405:$CR$1442&amp;" ",$BD44)))),"")</f>
        <v/>
      </c>
      <c r="BD44" s="581" t="str">
        <f>IF(44=44,IF($U44="","",SUBSTITUTE(SUBSTITUTE($AA44," "&amp;$CR$1443&amp;" "," ")," "&amp;$CR$1444&amp;" "," ")),"")</f>
        <v/>
      </c>
      <c r="BE44" s="581" t="str">
        <f>IF(44=44,IF($U44="","",SUMPRODUCT(--ISNUMBER(SEARCH(" "&amp;$CR$1445:$CR$1455&amp;" ",$BD44)))),"")</f>
        <v/>
      </c>
      <c r="BF44" s="581" t="str">
        <f>IF(44=44,IF($U44="","",IF(BC44&gt;0,"X",IF(BE44&gt;0,"?",""))),"")</f>
        <v/>
      </c>
      <c r="BG44" s="581" t="str">
        <f>IF(44=44,IF($U44="","",SUMPRODUCT(--ISNUMBER(SEARCH(" "&amp;$CR$1456:$CR$1555&amp;" ",$BJ44)))),"")</f>
        <v/>
      </c>
      <c r="BH44" s="581" t="str">
        <f>IF(44=44,IF($U44="","",SUMPRODUCT(--ISNUMBER(SEARCH(" "&amp;$CR$1556:$CR$1655&amp;" ",$BJ44)))),"")</f>
        <v/>
      </c>
      <c r="BI44" s="581" t="str">
        <f>IF(44=44,IF($U44="","",SUMPRODUCT(--ISNUMBER(SEARCH(" "&amp;$CR$1656:$CR$1739&amp;" ",$BJ44)))),"")</f>
        <v/>
      </c>
      <c r="BJ44" s="581"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4" s="581" t="str">
        <f>IF(44=44,IF($U44="","",SUMPRODUCT(--ISNUMBER(SEARCH(" "&amp;$CR$1790:$CR$1869&amp;" ",$BL44)))+SUMPRODUCT(--ISNUMBER(SEARCH(" "&amp;$CR$2440:$CR$2453&amp;" ",$BL44)))),"")</f>
        <v/>
      </c>
      <c r="BL44" s="581"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c>
      <c r="BM44" s="581" t="str">
        <f>IF(44=44,IF($U44="","",IF(SUM(BG44:BI44)+SUMPRODUCT(--ISNUMBER(SEARCH(" "&amp;$CR$2423:$CR$2424&amp;" ",$BJ44)))&gt;0,"X",IF(BK44&gt;0,"?",""))),"")</f>
        <v/>
      </c>
      <c r="BN44" s="581" t="str">
        <f>IF(44=44,IF($U44="","",SUMPRODUCT(--ISNUMBER(SEARCH(" "&amp;$CR$1879:$CR$1936&amp;" ",$BO44)))),"")</f>
        <v/>
      </c>
      <c r="BO44" s="581"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4" s="581" t="str">
        <f>IF(44=44,IF($U44="","",SUMPRODUCT(--ISNUMBER(SEARCH(" "&amp;$CR$1960:$CR$1976&amp;" ",$BO44)))),"")</f>
        <v/>
      </c>
      <c r="BQ44" s="581" t="str">
        <f>IF(44=44,IF($U44="","",IF(BN44&gt;0,"X",IF(BP44&gt;0,"?",""))),"")</f>
        <v/>
      </c>
      <c r="BR44" s="581" t="str">
        <f>IF(44=44,IF($U44="","",SUMPRODUCT(--ISNUMBER(SEARCH(" "&amp;$CR$1977:$CR$1990&amp;" ",$AA44)))),"")</f>
        <v/>
      </c>
      <c r="BS44" s="581" t="str">
        <f>IF(44=44,IF($U44="","",SUMPRODUCT(--ISNUMBER(SEARCH(" "&amp;$CR$1991:$CR$2005&amp;" ",$AA44)))),"")</f>
        <v/>
      </c>
      <c r="BT44" s="581" t="str">
        <f>IF(44=44,IF($U44="","",IF((BR44)-(0)&gt;0,"X",IF((BS44)-(0)&gt;0,"?",""))),"")</f>
        <v/>
      </c>
      <c r="BU44" s="581" t="str">
        <f>IF(44=44,IF($U44="","",SUMPRODUCT(--ISNUMBER(SEARCH(" "&amp;$CR$2006:$CR$2023&amp;" ",$AA44)))),"")</f>
        <v/>
      </c>
      <c r="BV44" s="581" t="str">
        <f>IF(44=44,IF($U44="","",SUMPRODUCT(--ISNUMBER(SEARCH(" "&amp;$CR$2024:$CR$2038&amp;" ",$AA44)))),"")</f>
        <v/>
      </c>
      <c r="BW44" s="581" t="str">
        <f>IF(44=44,IF($U44="","",IF((BU44)-(0)&gt;0,"X",IF((BV44)-(0)&gt;0,"?",""))),"")</f>
        <v/>
      </c>
      <c r="BX44" s="581" t="str">
        <f>IF(44=44,IF($U44="","",SUMPRODUCT(--ISNUMBER(SEARCH(" "&amp;$CR$2039:$CR$2057&amp;" ",$AA44)))),"")</f>
        <v/>
      </c>
      <c r="BY44" s="581" t="str">
        <f>IF(44=44,IF($U44="","",SUMPRODUCT(--ISNUMBER(SEARCH(" "&amp;$CR$2058:$CR$2072&amp;" ",$AA44)))),"")</f>
        <v/>
      </c>
      <c r="BZ44" s="581" t="str">
        <f>IF(44=44,IF($U44="","",IF((BX44)-(0)&gt;0,"X",IF((BY44)-(0)&gt;0,"?",""))),"")</f>
        <v/>
      </c>
      <c r="CA44" s="581" t="str">
        <f>IF(44=44,IF($U44="","",SUMPRODUCT(--ISNUMBER(SEARCH(" "&amp;$CR$2073:$CR$2093&amp;" ",$AA44)))),"")</f>
        <v/>
      </c>
      <c r="CB44" s="581" t="str">
        <f>IF(44=44,IF($U44="","",SUMPRODUCT(--ISNUMBER(SEARCH(" "&amp;$CR$2094:$CR$2133&amp;" ",SUBSTITUTE(SUBSTITUTE($AA44," "&amp;$CR$1367&amp;" "," ")," "&amp;$CR$1366&amp;" "," "))))+--ISNUMBER(SEARCH("poiré",$V44))),"")</f>
        <v/>
      </c>
      <c r="CC44" s="581" t="str">
        <f>IF(44=44,IF($U44="","",IF(OR(CA44&gt;0,ISNUMBER(SEARCH(" vinaigre de vin ",$AA44)),ISNUMBER(SEARCH(" vinaigre au vin ",$AA44))),"X",IF(CB44&gt;0,"?",""))),"")</f>
        <v/>
      </c>
      <c r="CD44" s="581" t="str">
        <f>IF(44=44,IF($U44="","",SUMPRODUCT(--ISNUMBER(SEARCH(" "&amp;$CR$2134:$CR$2146&amp;" ",$AA44)))),"")</f>
        <v/>
      </c>
      <c r="CE44" s="581" t="str">
        <f>IF(44=44,IF($U44="","",SUMPRODUCT(--ISNUMBER(SEARCH(" "&amp;$CR$2147:$CR$2152&amp;" ",$AA44)))),"")</f>
        <v/>
      </c>
      <c r="CF44" s="581" t="str">
        <f>IF(44=44,IF($U44="","",IF((CD44)-(0)&gt;0,"X",IF((CE44)-(0)&gt;0,"?",""))),"")</f>
        <v/>
      </c>
      <c r="CG44" s="581" t="str">
        <f>IF(44=44,IF($U44="","",SUMPRODUCT(--ISNUMBER(SEARCH(" "&amp;$CR$2153:$CR$2252&amp;" ",$CJ44)))),"")</f>
        <v/>
      </c>
      <c r="CH44" s="581" t="str">
        <f>IF(44=44,IF($U44="","",SUMPRODUCT(--ISNUMBER(SEARCH(" "&amp;$CR$2253:$CR$2352&amp;" ",$CJ44)))),"")</f>
        <v/>
      </c>
      <c r="CI44" s="581" t="str">
        <f>IF(44=44,IF($U44="","",SUMPRODUCT(--ISNUMBER(SEARCH(" "&amp;$CR$2353:$CR$2395&amp;" ",$CJ44)))),"")</f>
        <v/>
      </c>
      <c r="CJ44" s="581"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c>
      <c r="CK44" s="581" t="str">
        <f>IF(44=44,IF($U44="","",SUMPRODUCT(--ISNUMBER(SEARCH(" "&amp;$CR$2412:$CR$2416&amp;" ",$CJ44)))),"")</f>
        <v/>
      </c>
      <c r="CL44" s="581" t="str">
        <f>IF(44=44,IF($U44="","",IF(SUM(CG44:CI44)&gt;0,"X",IF(CK44&gt;0,"?",""))),"")</f>
        <v/>
      </c>
      <c r="CM44" s="582"/>
      <c r="CN44" s="584" t="s">
        <v>2097</v>
      </c>
      <c r="CO44" s="584" t="s">
        <v>1887</v>
      </c>
      <c r="CP44" s="584" t="s">
        <v>1888</v>
      </c>
      <c r="CQ44" s="584" t="s">
        <v>2098</v>
      </c>
      <c r="CR44" s="584" t="s">
        <v>2098</v>
      </c>
      <c r="CS44" s="584" t="s">
        <v>1890</v>
      </c>
      <c r="CT44" s="584" t="s">
        <v>1891</v>
      </c>
      <c r="CU44" s="584" t="s">
        <v>1892</v>
      </c>
      <c r="CV44" s="585" t="s">
        <v>1893</v>
      </c>
    </row>
    <row r="45" spans="1:100" ht="21.95" customHeight="1" x14ac:dyDescent="0.25">
      <c r="A45" s="597">
        <v>39</v>
      </c>
      <c r="B45" s="598"/>
      <c r="C45" s="599" t="str">
        <f t="shared" si="0"/>
        <v/>
      </c>
      <c r="D45" s="600"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601" t="str">
        <f>IF(45=45,IF($B45="","",AF45),"")</f>
        <v/>
      </c>
      <c r="F45" s="601" t="str">
        <f>IF(45=45,IF($B45="","",AI45),"")</f>
        <v/>
      </c>
      <c r="G45" s="601" t="str">
        <f>IF(45=45,IF($B45="","",AM45),"")</f>
        <v/>
      </c>
      <c r="H45" s="601" t="str">
        <f>IF(45=45,IF($B45="","",AZ45),"")</f>
        <v/>
      </c>
      <c r="I45" s="601" t="str">
        <f>IF(45=45,IF($B45="","",BB45),"")</f>
        <v/>
      </c>
      <c r="J45" s="601" t="str">
        <f>IF(45=45,IF($B45="","",BF45),"")</f>
        <v/>
      </c>
      <c r="K45" s="601" t="str">
        <f>IF(45=45,IF($B45="","",BM45),"")</f>
        <v/>
      </c>
      <c r="L45" s="601" t="str">
        <f>IF(45=45,IF($B45="","",BQ45),"")</f>
        <v/>
      </c>
      <c r="M45" s="601" t="str">
        <f>IF(45=45,IF($B45="","",BT45),"")</f>
        <v/>
      </c>
      <c r="N45" s="601" t="str">
        <f>IF(45=45,IF($B45="","",BW45),"")</f>
        <v/>
      </c>
      <c r="O45" s="601" t="str">
        <f>IF(45=45,IF($B45="","",BZ45),"")</f>
        <v/>
      </c>
      <c r="P45" s="601" t="str">
        <f>IF(45=45,IF($B45="","",CC45),"")</f>
        <v/>
      </c>
      <c r="Q45" s="601" t="str">
        <f>IF(45=45,IF($B45="","",CF45),"")</f>
        <v/>
      </c>
      <c r="R45" s="601" t="str">
        <f>IF(45=45,IF($B45="","",CL45),"")</f>
        <v/>
      </c>
      <c r="S45" s="602"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581" t="str">
        <f>IF(45=45,IF($B45="","",$B45),"")</f>
        <v/>
      </c>
      <c r="V45" s="581" t="str">
        <f>IF(45=45,LOWER(CLEAN(SUBSTITUTE(SUBSTITUTE(SUBSTITUTE(SUBSTITUTE($U45,CHAR(160)," ")," "," "),CHAR(10)," "),CHAR(13)," "))),"")</f>
        <v/>
      </c>
      <c r="W45" s="581" t="str">
        <f>IF(45=45,SUBSTITUTE(SUBSTITUTE(SUBSTITUTE(SUBSTITUTE(SUBSTITUTE(SUBSTITUTE(SUBSTITUTE(SUBSTITUTE(SUBSTITUTE(SUBSTITUTE(SUBSTITUTE(SUBSTITUTE($V45,"œ","oe"),"æ","ae"),"à","a"),"á","a"),"â","a"),"ä","a"),"ã","a"),"ç","c"),"è","e"),"é","e"),"ê","e"),"ë","e"),"")</f>
        <v/>
      </c>
      <c r="X45" s="581" t="str">
        <f>IF(45=45,SUBSTITUTE(SUBSTITUTE(SUBSTITUTE(SUBSTITUTE(SUBSTITUTE(SUBSTITUTE(SUBSTITUTE(SUBSTITUTE(SUBSTITUTE(SUBSTITUTE(SUBSTITUTE(SUBSTITUTE(SUBSTITUTE(SUBSTITUTE(SUBSTITUTE(SUBSTITUTE($W45,"ì","i"),"í","i"),"î","i"),"ï","i"),"ñ","n"),"ò","o"),"ó","o"),"ô","o"),"ö","o"),"õ","o"),"ù","u"),"ú","u"),"û","u"),"ü","u"),"ý","y"),"ÿ","y"),"")</f>
        <v/>
      </c>
      <c r="Y45" s="581" t="str">
        <f>IF(45=45,SUBSTITUTE(SUBSTITUTE(SUBSTITUTE(SUBSTITUTE(SUBSTITUTE(SUBSTITUTE(SUBSTITUTE(SUBSTITUTE(SUBSTITUTE(SUBSTITUTE(SUBSTITUTE(SUBSTITUTE(SUBSTITUTE(SUBSTITUTE($X45,"’"," "),"`"," "),"–"," "),"—"," "),"-"," "),"'"," "),"/"," "),"_"," "),","," "),"."," "),"("," "),")"," "),";"," "),":"," "),"")</f>
        <v/>
      </c>
      <c r="Z45" s="581" t="str">
        <f>IF(45=45,SUBSTITUTE(SUBSTITUTE(SUBSTITUTE(SUBSTITUTE(SUBSTITUTE(SUBSTITUTE(SUBSTITUTE(SUBSTITUTE(SUBSTITUTE(SUBSTITUTE(SUBSTITUTE(SUBSTITUTE(SUBSTITUTE(SUBSTITUTE(SUBSTITUTE($Y45,"!"," "),"?"," "),"+"," "),"*"," "),"&amp;"," "),"["," "),"]"," "),"{"," "),"}"," "),"%"," "),"="," "),"\"," "),"|"," "),"&lt;"," "),"&gt;"," "),"")</f>
        <v/>
      </c>
      <c r="AA45" s="581" t="str">
        <f>IF(45=45," "&amp;TRIM(SUBSTITUTE(SUBSTITUTE(SUBSTITUTE(SUBSTITUTE(SUBSTITUTE(SUBSTITUTE($Z45,CHAR(34)," "),"  "," "),"  "," "),"  "," "),"  "," "),"  "," "))&amp;" ","")</f>
        <v xml:space="preserve">  </v>
      </c>
      <c r="AB45" s="581" t="str">
        <f>IF(45=45,IF($U45="","",SUMPRODUCT(--ISNUMBER(SEARCH(" "&amp;$CR$2:$CR$101&amp;" ",$AD45)))),"")</f>
        <v/>
      </c>
      <c r="AC45" s="581" t="str">
        <f>IF(45=45,IF($U45="","",SUMPRODUCT(--ISNUMBER(SEARCH(" "&amp;$CR$102:$CR$151&amp;" ",$AD45)))),"")</f>
        <v/>
      </c>
      <c r="AD45" s="581"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5" s="581" t="str">
        <f>IF(45=45,IF($U45="","",SUMPRODUCT(--ISNUMBER(SEARCH(" "&amp;$CR$184:$CR$205&amp;" ",$AD45)))),"")</f>
        <v/>
      </c>
      <c r="AF45" s="581" t="str">
        <f>IF(45=45,IF($U45="","",IF(SUM(AB45:AC45)+SUMPRODUCT(--ISNUMBER(SEARCH(" "&amp;$CR$2418:$CR$2420&amp;" ",$AD45)))&gt;0,"X",IF(AE45&gt;0,"?",""))),"")</f>
        <v/>
      </c>
      <c r="AG45" s="581" t="str">
        <f>IF(45=45,IF($U45="","",SUMPRODUCT(--ISNUMBER(SEARCH(" "&amp;$CR$206:$CR$305&amp;" ",$AA45)))),"")</f>
        <v/>
      </c>
      <c r="AH45" s="581" t="str">
        <f>IF(45=45,IF($U45="","",SUMPRODUCT(--ISNUMBER(SEARCH(" "&amp;$CR$306:$CR$340&amp;" ",$AA45)))),"")</f>
        <v/>
      </c>
      <c r="AI45" s="581" t="str">
        <f>IF(45=45,IF($U45="","",IF((SUM(AG45:AH45))-(0)&gt;0,"X",IF((0)-(0)&gt;0,"?",""))),"")</f>
        <v/>
      </c>
      <c r="AJ45" s="581" t="str">
        <f>IF(45=45,IF($U45="","",SUMPRODUCT(--ISNUMBER(SEARCH(" "&amp;$CR$341:$CR$398&amp;" ",$AA45)))),"")</f>
        <v/>
      </c>
      <c r="AK45" s="581" t="str">
        <f>IF(45=45,IF($U45="","",SUMPRODUCT(--ISNUMBER(SEARCH(" "&amp;$CR$399:$CR$426&amp;" ",$AL45)))+SUMPRODUCT(--ISNUMBER(SEARCH(" "&amp;$CR$2440:$CR$2453&amp;" ",$AL45)))),"")</f>
        <v/>
      </c>
      <c r="AL45" s="581" t="str">
        <f>IF(45=45,IF($U45="","",SUBSTITUTE(SUBSTITUTE(SUBSTITUTE(SUBSTITUTE(SUBSTITUTE(SUBSTITUTE(SUBSTITUTE(SUBSTITUTE(SUBSTITUTE(SUBSTITUTE(SUBSTITUTE(SUBSTITUTE(SUBSTITUTE($AA45," "&amp;$CR$433&amp;" "," ")," "&amp;$CR$431&amp;" "," ")," "&amp;$CR$2438&amp;" "," ")," "&amp;$CR$2439&amp;" "," ")," "&amp;$CR$428&amp;" "," ")," "&amp;$CR$432&amp;" "," ")," "&amp;$CR$434&amp;" "," ")," "&amp;$CR$429&amp;" "," ")," "&amp;$CR$427&amp;" "," ")," "&amp;$CR$1367&amp;" "," ")," "&amp;$CR$435&amp;" "," ")," "&amp;$CR$1366&amp;" "," ")," "&amp;$CR$430&amp;" "," ")),"")</f>
        <v/>
      </c>
      <c r="AM45" s="581" t="str">
        <f>IF(45=45,IF($U45="","",IF(AJ45&gt;0,"X",IF(AK45&gt;0,"?",""))),"")</f>
        <v/>
      </c>
      <c r="AN45" s="581" t="str">
        <f>IF(45=45,IF($U45="","",SUMPRODUCT(--ISNUMBER(SEARCH(" "&amp;$CR$436:$CR$535&amp;" ",$AX45)))),"")</f>
        <v/>
      </c>
      <c r="AO45" s="581" t="str">
        <f>IF(45=45,IF($U45="","",SUMPRODUCT(--ISNUMBER(SEARCH(" "&amp;$CR$536:$CR$635&amp;" ",$AX45)))),"")</f>
        <v/>
      </c>
      <c r="AP45" s="581" t="str">
        <f>IF(45=45,IF($U45="","",SUMPRODUCT(--ISNUMBER(SEARCH(" "&amp;$CR$636:$CR$735&amp;" ",$AX45)))),"")</f>
        <v/>
      </c>
      <c r="AQ45" s="581" t="str">
        <f>IF(45=45,IF($U45="","",SUMPRODUCT(--ISNUMBER(SEARCH(" "&amp;$CR$736:$CR$835&amp;" ",$AX45)))),"")</f>
        <v/>
      </c>
      <c r="AR45" s="581" t="str">
        <f>IF(45=45,IF($U45="","",SUMPRODUCT(--ISNUMBER(SEARCH(" "&amp;$CR$836:$CR$935&amp;" ",$AX45)))),"")</f>
        <v/>
      </c>
      <c r="AS45" s="581" t="str">
        <f>IF(45=45,IF($U45="","",SUMPRODUCT(--ISNUMBER(SEARCH(" "&amp;$CR$936:$CR$1035&amp;" ",$AX45)))),"")</f>
        <v/>
      </c>
      <c r="AT45" s="581" t="str">
        <f>IF(45=45,IF($U45="","",SUMPRODUCT(--ISNUMBER(SEARCH(" "&amp;$CR$1036:$CR$1135&amp;" ",$AX45)))),"")</f>
        <v/>
      </c>
      <c r="AU45" s="581" t="str">
        <f>IF(45=45,IF($U45="","",SUMPRODUCT(--ISNUMBER(SEARCH(" "&amp;$CR$1136:$CR$1235&amp;" ",$AX45)))),"")</f>
        <v/>
      </c>
      <c r="AV45" s="581" t="str">
        <f>IF(45=45,IF($U45="","",SUMPRODUCT(--ISNUMBER(SEARCH(" "&amp;$CR$1236:$CR$1335&amp;" ",$AX45)))),"")</f>
        <v/>
      </c>
      <c r="AW45" s="581" t="str">
        <f>IF(45=45,IF($U45="","",SUMPRODUCT(--ISNUMBER(SEARCH(" "&amp;$CR$1336:$CR$1363&amp;" ",$AX45)))),"")</f>
        <v/>
      </c>
      <c r="AX45" s="581" t="str">
        <f>IF(45=45,IF($U45="","",SUBSTITUTE(SUBSTITUTE(SUBSTITUTE(SUBSTITUTE(SUBSTITUTE(SUBSTITUTE(SUBSTITUTE(SUBSTITUTE(SUBSTITUTE($AA45," "&amp;$CR$1365&amp;" "," ")," "&amp;$CR$1364&amp;" "," ")," "&amp;$CR$1370&amp;" "," ")," "&amp;$CR$1371&amp;" "," ")," "&amp;$CR$1367&amp;" "," ")," "&amp;$CR$1369&amp;" "," ")," "&amp;$CR$1366&amp;" "," ")," "&amp;$CR$1368&amp;" "," ")," "&amp;$CR$1372&amp;" "," ")),"")</f>
        <v/>
      </c>
      <c r="AY45" s="581" t="str">
        <f>IF(45=45,IF($U45="","",SUMPRODUCT(--ISNUMBER(SEARCH(" "&amp;$CR$1373:$CR$1383&amp;" ",$AX45)))),"")</f>
        <v/>
      </c>
      <c r="AZ45" s="581" t="str">
        <f>IF(45=45,IF($U45="","",IF(SUM(AN45:AW45)+SUMPRODUCT(--ISNUMBER(SEARCH(" "&amp;$CR$2421:$CR$2422&amp;" ",$AX45)))&gt;0,"X",IF(AY45&gt;0,"?",""))),"")</f>
        <v/>
      </c>
      <c r="BA45" s="581" t="str">
        <f>IF(45=45,IF($U45="","",SUMPRODUCT(--ISNUMBER(SEARCH(" "&amp;$CR$1384:$CR$1404&amp;" ",$AA45)))),"")</f>
        <v/>
      </c>
      <c r="BB45" s="581" t="str">
        <f>IF(45=45,IF($U45="","",IF((BA45)-(0)&gt;0,"X",IF((0)-(0)&gt;0,"?",""))),"")</f>
        <v/>
      </c>
      <c r="BC45" s="581" t="str">
        <f>IF(45=45,IF($U45="","",SUMPRODUCT(--ISNUMBER(SEARCH(" "&amp;$CR$1405:$CR$1442&amp;" ",$BD45)))),"")</f>
        <v/>
      </c>
      <c r="BD45" s="581" t="str">
        <f>IF(45=45,IF($U45="","",SUBSTITUTE(SUBSTITUTE($AA45," "&amp;$CR$1443&amp;" "," ")," "&amp;$CR$1444&amp;" "," ")),"")</f>
        <v/>
      </c>
      <c r="BE45" s="581" t="str">
        <f>IF(45=45,IF($U45="","",SUMPRODUCT(--ISNUMBER(SEARCH(" "&amp;$CR$1445:$CR$1455&amp;" ",$BD45)))),"")</f>
        <v/>
      </c>
      <c r="BF45" s="581" t="str">
        <f>IF(45=45,IF($U45="","",IF(BC45&gt;0,"X",IF(BE45&gt;0,"?",""))),"")</f>
        <v/>
      </c>
      <c r="BG45" s="581" t="str">
        <f>IF(45=45,IF($U45="","",SUMPRODUCT(--ISNUMBER(SEARCH(" "&amp;$CR$1456:$CR$1555&amp;" ",$BJ45)))),"")</f>
        <v/>
      </c>
      <c r="BH45" s="581" t="str">
        <f>IF(45=45,IF($U45="","",SUMPRODUCT(--ISNUMBER(SEARCH(" "&amp;$CR$1556:$CR$1655&amp;" ",$BJ45)))),"")</f>
        <v/>
      </c>
      <c r="BI45" s="581" t="str">
        <f>IF(45=45,IF($U45="","",SUMPRODUCT(--ISNUMBER(SEARCH(" "&amp;$CR$1656:$CR$1739&amp;" ",$BJ45)))),"")</f>
        <v/>
      </c>
      <c r="BJ45" s="581"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5" s="581" t="str">
        <f>IF(45=45,IF($U45="","",SUMPRODUCT(--ISNUMBER(SEARCH(" "&amp;$CR$1790:$CR$1869&amp;" ",$BL45)))+SUMPRODUCT(--ISNUMBER(SEARCH(" "&amp;$CR$2440:$CR$2453&amp;" ",$BL45)))),"")</f>
        <v/>
      </c>
      <c r="BL45" s="581"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c>
      <c r="BM45" s="581" t="str">
        <f>IF(45=45,IF($U45="","",IF(SUM(BG45:BI45)+SUMPRODUCT(--ISNUMBER(SEARCH(" "&amp;$CR$2423:$CR$2424&amp;" ",$BJ45)))&gt;0,"X",IF(BK45&gt;0,"?",""))),"")</f>
        <v/>
      </c>
      <c r="BN45" s="581" t="str">
        <f>IF(45=45,IF($U45="","",SUMPRODUCT(--ISNUMBER(SEARCH(" "&amp;$CR$1879:$CR$1936&amp;" ",$BO45)))),"")</f>
        <v/>
      </c>
      <c r="BO45" s="581"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5" s="581" t="str">
        <f>IF(45=45,IF($U45="","",SUMPRODUCT(--ISNUMBER(SEARCH(" "&amp;$CR$1960:$CR$1976&amp;" ",$BO45)))),"")</f>
        <v/>
      </c>
      <c r="BQ45" s="581" t="str">
        <f>IF(45=45,IF($U45="","",IF(BN45&gt;0,"X",IF(BP45&gt;0,"?",""))),"")</f>
        <v/>
      </c>
      <c r="BR45" s="581" t="str">
        <f>IF(45=45,IF($U45="","",SUMPRODUCT(--ISNUMBER(SEARCH(" "&amp;$CR$1977:$CR$1990&amp;" ",$AA45)))),"")</f>
        <v/>
      </c>
      <c r="BS45" s="581" t="str">
        <f>IF(45=45,IF($U45="","",SUMPRODUCT(--ISNUMBER(SEARCH(" "&amp;$CR$1991:$CR$2005&amp;" ",$AA45)))),"")</f>
        <v/>
      </c>
      <c r="BT45" s="581" t="str">
        <f>IF(45=45,IF($U45="","",IF((BR45)-(0)&gt;0,"X",IF((BS45)-(0)&gt;0,"?",""))),"")</f>
        <v/>
      </c>
      <c r="BU45" s="581" t="str">
        <f>IF(45=45,IF($U45="","",SUMPRODUCT(--ISNUMBER(SEARCH(" "&amp;$CR$2006:$CR$2023&amp;" ",$AA45)))),"")</f>
        <v/>
      </c>
      <c r="BV45" s="581" t="str">
        <f>IF(45=45,IF($U45="","",SUMPRODUCT(--ISNUMBER(SEARCH(" "&amp;$CR$2024:$CR$2038&amp;" ",$AA45)))),"")</f>
        <v/>
      </c>
      <c r="BW45" s="581" t="str">
        <f>IF(45=45,IF($U45="","",IF((BU45)-(0)&gt;0,"X",IF((BV45)-(0)&gt;0,"?",""))),"")</f>
        <v/>
      </c>
      <c r="BX45" s="581" t="str">
        <f>IF(45=45,IF($U45="","",SUMPRODUCT(--ISNUMBER(SEARCH(" "&amp;$CR$2039:$CR$2057&amp;" ",$AA45)))),"")</f>
        <v/>
      </c>
      <c r="BY45" s="581" t="str">
        <f>IF(45=45,IF($U45="","",SUMPRODUCT(--ISNUMBER(SEARCH(" "&amp;$CR$2058:$CR$2072&amp;" ",$AA45)))),"")</f>
        <v/>
      </c>
      <c r="BZ45" s="581" t="str">
        <f>IF(45=45,IF($U45="","",IF((BX45)-(0)&gt;0,"X",IF((BY45)-(0)&gt;0,"?",""))),"")</f>
        <v/>
      </c>
      <c r="CA45" s="581" t="str">
        <f>IF(45=45,IF($U45="","",SUMPRODUCT(--ISNUMBER(SEARCH(" "&amp;$CR$2073:$CR$2093&amp;" ",$AA45)))),"")</f>
        <v/>
      </c>
      <c r="CB45" s="581" t="str">
        <f>IF(45=45,IF($U45="","",SUMPRODUCT(--ISNUMBER(SEARCH(" "&amp;$CR$2094:$CR$2133&amp;" ",SUBSTITUTE(SUBSTITUTE($AA45," "&amp;$CR$1367&amp;" "," ")," "&amp;$CR$1366&amp;" "," "))))+--ISNUMBER(SEARCH("poiré",$V45))),"")</f>
        <v/>
      </c>
      <c r="CC45" s="581" t="str">
        <f>IF(45=45,IF($U45="","",IF(OR(CA45&gt;0,ISNUMBER(SEARCH(" vinaigre de vin ",$AA45)),ISNUMBER(SEARCH(" vinaigre au vin ",$AA45))),"X",IF(CB45&gt;0,"?",""))),"")</f>
        <v/>
      </c>
      <c r="CD45" s="581" t="str">
        <f>IF(45=45,IF($U45="","",SUMPRODUCT(--ISNUMBER(SEARCH(" "&amp;$CR$2134:$CR$2146&amp;" ",$AA45)))),"")</f>
        <v/>
      </c>
      <c r="CE45" s="581" t="str">
        <f>IF(45=45,IF($U45="","",SUMPRODUCT(--ISNUMBER(SEARCH(" "&amp;$CR$2147:$CR$2152&amp;" ",$AA45)))),"")</f>
        <v/>
      </c>
      <c r="CF45" s="581" t="str">
        <f>IF(45=45,IF($U45="","",IF((CD45)-(0)&gt;0,"X",IF((CE45)-(0)&gt;0,"?",""))),"")</f>
        <v/>
      </c>
      <c r="CG45" s="581" t="str">
        <f>IF(45=45,IF($U45="","",SUMPRODUCT(--ISNUMBER(SEARCH(" "&amp;$CR$2153:$CR$2252&amp;" ",$CJ45)))),"")</f>
        <v/>
      </c>
      <c r="CH45" s="581" t="str">
        <f>IF(45=45,IF($U45="","",SUMPRODUCT(--ISNUMBER(SEARCH(" "&amp;$CR$2253:$CR$2352&amp;" ",$CJ45)))),"")</f>
        <v/>
      </c>
      <c r="CI45" s="581" t="str">
        <f>IF(45=45,IF($U45="","",SUMPRODUCT(--ISNUMBER(SEARCH(" "&amp;$CR$2353:$CR$2395&amp;" ",$CJ45)))),"")</f>
        <v/>
      </c>
      <c r="CJ45" s="581"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c>
      <c r="CK45" s="581" t="str">
        <f>IF(45=45,IF($U45="","",SUMPRODUCT(--ISNUMBER(SEARCH(" "&amp;$CR$2412:$CR$2416&amp;" ",$CJ45)))),"")</f>
        <v/>
      </c>
      <c r="CL45" s="581" t="str">
        <f>IF(45=45,IF($U45="","",IF(SUM(CG45:CI45)&gt;0,"X",IF(CK45&gt;0,"?",""))),"")</f>
        <v/>
      </c>
      <c r="CM45" s="582"/>
      <c r="CN45" s="584" t="s">
        <v>2099</v>
      </c>
      <c r="CO45" s="584" t="s">
        <v>1887</v>
      </c>
      <c r="CP45" s="584" t="s">
        <v>1888</v>
      </c>
      <c r="CQ45" s="584" t="s">
        <v>2100</v>
      </c>
      <c r="CR45" s="584" t="s">
        <v>2100</v>
      </c>
      <c r="CS45" s="584" t="s">
        <v>1890</v>
      </c>
      <c r="CT45" s="584" t="s">
        <v>1891</v>
      </c>
      <c r="CU45" s="584" t="s">
        <v>1892</v>
      </c>
      <c r="CV45" s="585" t="s">
        <v>1893</v>
      </c>
    </row>
    <row r="46" spans="1:100" ht="21.95" customHeight="1" x14ac:dyDescent="0.25">
      <c r="A46" s="597">
        <v>40</v>
      </c>
      <c r="B46" s="598"/>
      <c r="C46" s="599" t="str">
        <f t="shared" si="0"/>
        <v/>
      </c>
      <c r="D46" s="600"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601" t="str">
        <f>IF(46=46,IF($B46="","",AF46),"")</f>
        <v/>
      </c>
      <c r="F46" s="601" t="str">
        <f>IF(46=46,IF($B46="","",AI46),"")</f>
        <v/>
      </c>
      <c r="G46" s="601" t="str">
        <f>IF(46=46,IF($B46="","",AM46),"")</f>
        <v/>
      </c>
      <c r="H46" s="601" t="str">
        <f>IF(46=46,IF($B46="","",AZ46),"")</f>
        <v/>
      </c>
      <c r="I46" s="601" t="str">
        <f>IF(46=46,IF($B46="","",BB46),"")</f>
        <v/>
      </c>
      <c r="J46" s="601" t="str">
        <f>IF(46=46,IF($B46="","",BF46),"")</f>
        <v/>
      </c>
      <c r="K46" s="601" t="str">
        <f>IF(46=46,IF($B46="","",BM46),"")</f>
        <v/>
      </c>
      <c r="L46" s="601" t="str">
        <f>IF(46=46,IF($B46="","",BQ46),"")</f>
        <v/>
      </c>
      <c r="M46" s="601" t="str">
        <f>IF(46=46,IF($B46="","",BT46),"")</f>
        <v/>
      </c>
      <c r="N46" s="601" t="str">
        <f>IF(46=46,IF($B46="","",BW46),"")</f>
        <v/>
      </c>
      <c r="O46" s="601" t="str">
        <f>IF(46=46,IF($B46="","",BZ46),"")</f>
        <v/>
      </c>
      <c r="P46" s="601" t="str">
        <f>IF(46=46,IF($B46="","",CC46),"")</f>
        <v/>
      </c>
      <c r="Q46" s="601" t="str">
        <f>IF(46=46,IF($B46="","",CF46),"")</f>
        <v/>
      </c>
      <c r="R46" s="601" t="str">
        <f>IF(46=46,IF($B46="","",CL46),"")</f>
        <v/>
      </c>
      <c r="S46" s="602"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581" t="str">
        <f>IF(46=46,IF($B46="","",$B46),"")</f>
        <v/>
      </c>
      <c r="V46" s="581" t="str">
        <f>IF(46=46,LOWER(CLEAN(SUBSTITUTE(SUBSTITUTE(SUBSTITUTE(SUBSTITUTE($U46,CHAR(160)," ")," "," "),CHAR(10)," "),CHAR(13)," "))),"")</f>
        <v/>
      </c>
      <c r="W46" s="581" t="str">
        <f>IF(46=46,SUBSTITUTE(SUBSTITUTE(SUBSTITUTE(SUBSTITUTE(SUBSTITUTE(SUBSTITUTE(SUBSTITUTE(SUBSTITUTE(SUBSTITUTE(SUBSTITUTE(SUBSTITUTE(SUBSTITUTE($V46,"œ","oe"),"æ","ae"),"à","a"),"á","a"),"â","a"),"ä","a"),"ã","a"),"ç","c"),"è","e"),"é","e"),"ê","e"),"ë","e"),"")</f>
        <v/>
      </c>
      <c r="X46" s="581" t="str">
        <f>IF(46=46,SUBSTITUTE(SUBSTITUTE(SUBSTITUTE(SUBSTITUTE(SUBSTITUTE(SUBSTITUTE(SUBSTITUTE(SUBSTITUTE(SUBSTITUTE(SUBSTITUTE(SUBSTITUTE(SUBSTITUTE(SUBSTITUTE(SUBSTITUTE(SUBSTITUTE(SUBSTITUTE($W46,"ì","i"),"í","i"),"î","i"),"ï","i"),"ñ","n"),"ò","o"),"ó","o"),"ô","o"),"ö","o"),"õ","o"),"ù","u"),"ú","u"),"û","u"),"ü","u"),"ý","y"),"ÿ","y"),"")</f>
        <v/>
      </c>
      <c r="Y46" s="581" t="str">
        <f>IF(46=46,SUBSTITUTE(SUBSTITUTE(SUBSTITUTE(SUBSTITUTE(SUBSTITUTE(SUBSTITUTE(SUBSTITUTE(SUBSTITUTE(SUBSTITUTE(SUBSTITUTE(SUBSTITUTE(SUBSTITUTE(SUBSTITUTE(SUBSTITUTE($X46,"’"," "),"`"," "),"–"," "),"—"," "),"-"," "),"'"," "),"/"," "),"_"," "),","," "),"."," "),"("," "),")"," "),";"," "),":"," "),"")</f>
        <v/>
      </c>
      <c r="Z46" s="581" t="str">
        <f>IF(46=46,SUBSTITUTE(SUBSTITUTE(SUBSTITUTE(SUBSTITUTE(SUBSTITUTE(SUBSTITUTE(SUBSTITUTE(SUBSTITUTE(SUBSTITUTE(SUBSTITUTE(SUBSTITUTE(SUBSTITUTE(SUBSTITUTE(SUBSTITUTE(SUBSTITUTE($Y46,"!"," "),"?"," "),"+"," "),"*"," "),"&amp;"," "),"["," "),"]"," "),"{"," "),"}"," "),"%"," "),"="," "),"\"," "),"|"," "),"&lt;"," "),"&gt;"," "),"")</f>
        <v/>
      </c>
      <c r="AA46" s="581" t="str">
        <f>IF(46=46," "&amp;TRIM(SUBSTITUTE(SUBSTITUTE(SUBSTITUTE(SUBSTITUTE(SUBSTITUTE(SUBSTITUTE($Z46,CHAR(34)," "),"  "," "),"  "," "),"  "," "),"  "," "),"  "," "))&amp;" ","")</f>
        <v xml:space="preserve">  </v>
      </c>
      <c r="AB46" s="581" t="str">
        <f>IF(46=46,IF($U46="","",SUMPRODUCT(--ISNUMBER(SEARCH(" "&amp;$CR$2:$CR$101&amp;" ",$AD46)))),"")</f>
        <v/>
      </c>
      <c r="AC46" s="581" t="str">
        <f>IF(46=46,IF($U46="","",SUMPRODUCT(--ISNUMBER(SEARCH(" "&amp;$CR$102:$CR$151&amp;" ",$AD46)))),"")</f>
        <v/>
      </c>
      <c r="AD46" s="581"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6" s="581" t="str">
        <f>IF(46=46,IF($U46="","",SUMPRODUCT(--ISNUMBER(SEARCH(" "&amp;$CR$184:$CR$205&amp;" ",$AD46)))),"")</f>
        <v/>
      </c>
      <c r="AF46" s="581" t="str">
        <f>IF(46=46,IF($U46="","",IF(SUM(AB46:AC46)+SUMPRODUCT(--ISNUMBER(SEARCH(" "&amp;$CR$2418:$CR$2420&amp;" ",$AD46)))&gt;0,"X",IF(AE46&gt;0,"?",""))),"")</f>
        <v/>
      </c>
      <c r="AG46" s="581" t="str">
        <f>IF(46=46,IF($U46="","",SUMPRODUCT(--ISNUMBER(SEARCH(" "&amp;$CR$206:$CR$305&amp;" ",$AA46)))),"")</f>
        <v/>
      </c>
      <c r="AH46" s="581" t="str">
        <f>IF(46=46,IF($U46="","",SUMPRODUCT(--ISNUMBER(SEARCH(" "&amp;$CR$306:$CR$340&amp;" ",$AA46)))),"")</f>
        <v/>
      </c>
      <c r="AI46" s="581" t="str">
        <f>IF(46=46,IF($U46="","",IF((SUM(AG46:AH46))-(0)&gt;0,"X",IF((0)-(0)&gt;0,"?",""))),"")</f>
        <v/>
      </c>
      <c r="AJ46" s="581" t="str">
        <f>IF(46=46,IF($U46="","",SUMPRODUCT(--ISNUMBER(SEARCH(" "&amp;$CR$341:$CR$398&amp;" ",$AA46)))),"")</f>
        <v/>
      </c>
      <c r="AK46" s="581" t="str">
        <f>IF(46=46,IF($U46="","",SUMPRODUCT(--ISNUMBER(SEARCH(" "&amp;$CR$399:$CR$426&amp;" ",$AL46)))+SUMPRODUCT(--ISNUMBER(SEARCH(" "&amp;$CR$2440:$CR$2453&amp;" ",$AL46)))),"")</f>
        <v/>
      </c>
      <c r="AL46" s="581" t="str">
        <f>IF(46=46,IF($U46="","",SUBSTITUTE(SUBSTITUTE(SUBSTITUTE(SUBSTITUTE(SUBSTITUTE(SUBSTITUTE(SUBSTITUTE(SUBSTITUTE(SUBSTITUTE(SUBSTITUTE(SUBSTITUTE(SUBSTITUTE(SUBSTITUTE($AA46," "&amp;$CR$433&amp;" "," ")," "&amp;$CR$431&amp;" "," ")," "&amp;$CR$2438&amp;" "," ")," "&amp;$CR$2439&amp;" "," ")," "&amp;$CR$428&amp;" "," ")," "&amp;$CR$432&amp;" "," ")," "&amp;$CR$434&amp;" "," ")," "&amp;$CR$429&amp;" "," ")," "&amp;$CR$427&amp;" "," ")," "&amp;$CR$1367&amp;" "," ")," "&amp;$CR$435&amp;" "," ")," "&amp;$CR$1366&amp;" "," ")," "&amp;$CR$430&amp;" "," ")),"")</f>
        <v/>
      </c>
      <c r="AM46" s="581" t="str">
        <f>IF(46=46,IF($U46="","",IF(AJ46&gt;0,"X",IF(AK46&gt;0,"?",""))),"")</f>
        <v/>
      </c>
      <c r="AN46" s="581" t="str">
        <f>IF(46=46,IF($U46="","",SUMPRODUCT(--ISNUMBER(SEARCH(" "&amp;$CR$436:$CR$535&amp;" ",$AX46)))),"")</f>
        <v/>
      </c>
      <c r="AO46" s="581" t="str">
        <f>IF(46=46,IF($U46="","",SUMPRODUCT(--ISNUMBER(SEARCH(" "&amp;$CR$536:$CR$635&amp;" ",$AX46)))),"")</f>
        <v/>
      </c>
      <c r="AP46" s="581" t="str">
        <f>IF(46=46,IF($U46="","",SUMPRODUCT(--ISNUMBER(SEARCH(" "&amp;$CR$636:$CR$735&amp;" ",$AX46)))),"")</f>
        <v/>
      </c>
      <c r="AQ46" s="581" t="str">
        <f>IF(46=46,IF($U46="","",SUMPRODUCT(--ISNUMBER(SEARCH(" "&amp;$CR$736:$CR$835&amp;" ",$AX46)))),"")</f>
        <v/>
      </c>
      <c r="AR46" s="581" t="str">
        <f>IF(46=46,IF($U46="","",SUMPRODUCT(--ISNUMBER(SEARCH(" "&amp;$CR$836:$CR$935&amp;" ",$AX46)))),"")</f>
        <v/>
      </c>
      <c r="AS46" s="581" t="str">
        <f>IF(46=46,IF($U46="","",SUMPRODUCT(--ISNUMBER(SEARCH(" "&amp;$CR$936:$CR$1035&amp;" ",$AX46)))),"")</f>
        <v/>
      </c>
      <c r="AT46" s="581" t="str">
        <f>IF(46=46,IF($U46="","",SUMPRODUCT(--ISNUMBER(SEARCH(" "&amp;$CR$1036:$CR$1135&amp;" ",$AX46)))),"")</f>
        <v/>
      </c>
      <c r="AU46" s="581" t="str">
        <f>IF(46=46,IF($U46="","",SUMPRODUCT(--ISNUMBER(SEARCH(" "&amp;$CR$1136:$CR$1235&amp;" ",$AX46)))),"")</f>
        <v/>
      </c>
      <c r="AV46" s="581" t="str">
        <f>IF(46=46,IF($U46="","",SUMPRODUCT(--ISNUMBER(SEARCH(" "&amp;$CR$1236:$CR$1335&amp;" ",$AX46)))),"")</f>
        <v/>
      </c>
      <c r="AW46" s="581" t="str">
        <f>IF(46=46,IF($U46="","",SUMPRODUCT(--ISNUMBER(SEARCH(" "&amp;$CR$1336:$CR$1363&amp;" ",$AX46)))),"")</f>
        <v/>
      </c>
      <c r="AX46" s="581" t="str">
        <f>IF(46=46,IF($U46="","",SUBSTITUTE(SUBSTITUTE(SUBSTITUTE(SUBSTITUTE(SUBSTITUTE(SUBSTITUTE(SUBSTITUTE(SUBSTITUTE(SUBSTITUTE($AA46," "&amp;$CR$1365&amp;" "," ")," "&amp;$CR$1364&amp;" "," ")," "&amp;$CR$1370&amp;" "," ")," "&amp;$CR$1371&amp;" "," ")," "&amp;$CR$1367&amp;" "," ")," "&amp;$CR$1369&amp;" "," ")," "&amp;$CR$1366&amp;" "," ")," "&amp;$CR$1368&amp;" "," ")," "&amp;$CR$1372&amp;" "," ")),"")</f>
        <v/>
      </c>
      <c r="AY46" s="581" t="str">
        <f>IF(46=46,IF($U46="","",SUMPRODUCT(--ISNUMBER(SEARCH(" "&amp;$CR$1373:$CR$1383&amp;" ",$AX46)))),"")</f>
        <v/>
      </c>
      <c r="AZ46" s="581" t="str">
        <f>IF(46=46,IF($U46="","",IF(SUM(AN46:AW46)+SUMPRODUCT(--ISNUMBER(SEARCH(" "&amp;$CR$2421:$CR$2422&amp;" ",$AX46)))&gt;0,"X",IF(AY46&gt;0,"?",""))),"")</f>
        <v/>
      </c>
      <c r="BA46" s="581" t="str">
        <f>IF(46=46,IF($U46="","",SUMPRODUCT(--ISNUMBER(SEARCH(" "&amp;$CR$1384:$CR$1404&amp;" ",$AA46)))),"")</f>
        <v/>
      </c>
      <c r="BB46" s="581" t="str">
        <f>IF(46=46,IF($U46="","",IF((BA46)-(0)&gt;0,"X",IF((0)-(0)&gt;0,"?",""))),"")</f>
        <v/>
      </c>
      <c r="BC46" s="581" t="str">
        <f>IF(46=46,IF($U46="","",SUMPRODUCT(--ISNUMBER(SEARCH(" "&amp;$CR$1405:$CR$1442&amp;" ",$BD46)))),"")</f>
        <v/>
      </c>
      <c r="BD46" s="581" t="str">
        <f>IF(46=46,IF($U46="","",SUBSTITUTE(SUBSTITUTE($AA46," "&amp;$CR$1443&amp;" "," ")," "&amp;$CR$1444&amp;" "," ")),"")</f>
        <v/>
      </c>
      <c r="BE46" s="581" t="str">
        <f>IF(46=46,IF($U46="","",SUMPRODUCT(--ISNUMBER(SEARCH(" "&amp;$CR$1445:$CR$1455&amp;" ",$BD46)))),"")</f>
        <v/>
      </c>
      <c r="BF46" s="581" t="str">
        <f>IF(46=46,IF($U46="","",IF(BC46&gt;0,"X",IF(BE46&gt;0,"?",""))),"")</f>
        <v/>
      </c>
      <c r="BG46" s="581" t="str">
        <f>IF(46=46,IF($U46="","",SUMPRODUCT(--ISNUMBER(SEARCH(" "&amp;$CR$1456:$CR$1555&amp;" ",$BJ46)))),"")</f>
        <v/>
      </c>
      <c r="BH46" s="581" t="str">
        <f>IF(46=46,IF($U46="","",SUMPRODUCT(--ISNUMBER(SEARCH(" "&amp;$CR$1556:$CR$1655&amp;" ",$BJ46)))),"")</f>
        <v/>
      </c>
      <c r="BI46" s="581" t="str">
        <f>IF(46=46,IF($U46="","",SUMPRODUCT(--ISNUMBER(SEARCH(" "&amp;$CR$1656:$CR$1739&amp;" ",$BJ46)))),"")</f>
        <v/>
      </c>
      <c r="BJ46" s="581"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6" s="581" t="str">
        <f>IF(46=46,IF($U46="","",SUMPRODUCT(--ISNUMBER(SEARCH(" "&amp;$CR$1790:$CR$1869&amp;" ",$BL46)))+SUMPRODUCT(--ISNUMBER(SEARCH(" "&amp;$CR$2440:$CR$2453&amp;" ",$BL46)))),"")</f>
        <v/>
      </c>
      <c r="BL46" s="581"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c>
      <c r="BM46" s="581" t="str">
        <f>IF(46=46,IF($U46="","",IF(SUM(BG46:BI46)+SUMPRODUCT(--ISNUMBER(SEARCH(" "&amp;$CR$2423:$CR$2424&amp;" ",$BJ46)))&gt;0,"X",IF(BK46&gt;0,"?",""))),"")</f>
        <v/>
      </c>
      <c r="BN46" s="581" t="str">
        <f>IF(46=46,IF($U46="","",SUMPRODUCT(--ISNUMBER(SEARCH(" "&amp;$CR$1879:$CR$1936&amp;" ",$BO46)))),"")</f>
        <v/>
      </c>
      <c r="BO46" s="581"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6" s="581" t="str">
        <f>IF(46=46,IF($U46="","",SUMPRODUCT(--ISNUMBER(SEARCH(" "&amp;$CR$1960:$CR$1976&amp;" ",$BO46)))),"")</f>
        <v/>
      </c>
      <c r="BQ46" s="581" t="str">
        <f>IF(46=46,IF($U46="","",IF(BN46&gt;0,"X",IF(BP46&gt;0,"?",""))),"")</f>
        <v/>
      </c>
      <c r="BR46" s="581" t="str">
        <f>IF(46=46,IF($U46="","",SUMPRODUCT(--ISNUMBER(SEARCH(" "&amp;$CR$1977:$CR$1990&amp;" ",$AA46)))),"")</f>
        <v/>
      </c>
      <c r="BS46" s="581" t="str">
        <f>IF(46=46,IF($U46="","",SUMPRODUCT(--ISNUMBER(SEARCH(" "&amp;$CR$1991:$CR$2005&amp;" ",$AA46)))),"")</f>
        <v/>
      </c>
      <c r="BT46" s="581" t="str">
        <f>IF(46=46,IF($U46="","",IF((BR46)-(0)&gt;0,"X",IF((BS46)-(0)&gt;0,"?",""))),"")</f>
        <v/>
      </c>
      <c r="BU46" s="581" t="str">
        <f>IF(46=46,IF($U46="","",SUMPRODUCT(--ISNUMBER(SEARCH(" "&amp;$CR$2006:$CR$2023&amp;" ",$AA46)))),"")</f>
        <v/>
      </c>
      <c r="BV46" s="581" t="str">
        <f>IF(46=46,IF($U46="","",SUMPRODUCT(--ISNUMBER(SEARCH(" "&amp;$CR$2024:$CR$2038&amp;" ",$AA46)))),"")</f>
        <v/>
      </c>
      <c r="BW46" s="581" t="str">
        <f>IF(46=46,IF($U46="","",IF((BU46)-(0)&gt;0,"X",IF((BV46)-(0)&gt;0,"?",""))),"")</f>
        <v/>
      </c>
      <c r="BX46" s="581" t="str">
        <f>IF(46=46,IF($U46="","",SUMPRODUCT(--ISNUMBER(SEARCH(" "&amp;$CR$2039:$CR$2057&amp;" ",$AA46)))),"")</f>
        <v/>
      </c>
      <c r="BY46" s="581" t="str">
        <f>IF(46=46,IF($U46="","",SUMPRODUCT(--ISNUMBER(SEARCH(" "&amp;$CR$2058:$CR$2072&amp;" ",$AA46)))),"")</f>
        <v/>
      </c>
      <c r="BZ46" s="581" t="str">
        <f>IF(46=46,IF($U46="","",IF((BX46)-(0)&gt;0,"X",IF((BY46)-(0)&gt;0,"?",""))),"")</f>
        <v/>
      </c>
      <c r="CA46" s="581" t="str">
        <f>IF(46=46,IF($U46="","",SUMPRODUCT(--ISNUMBER(SEARCH(" "&amp;$CR$2073:$CR$2093&amp;" ",$AA46)))),"")</f>
        <v/>
      </c>
      <c r="CB46" s="581" t="str">
        <f>IF(46=46,IF($U46="","",SUMPRODUCT(--ISNUMBER(SEARCH(" "&amp;$CR$2094:$CR$2133&amp;" ",SUBSTITUTE(SUBSTITUTE($AA46," "&amp;$CR$1367&amp;" "," ")," "&amp;$CR$1366&amp;" "," "))))+--ISNUMBER(SEARCH("poiré",$V46))),"")</f>
        <v/>
      </c>
      <c r="CC46" s="581" t="str">
        <f>IF(46=46,IF($U46="","",IF(OR(CA46&gt;0,ISNUMBER(SEARCH(" vinaigre de vin ",$AA46)),ISNUMBER(SEARCH(" vinaigre au vin ",$AA46))),"X",IF(CB46&gt;0,"?",""))),"")</f>
        <v/>
      </c>
      <c r="CD46" s="581" t="str">
        <f>IF(46=46,IF($U46="","",SUMPRODUCT(--ISNUMBER(SEARCH(" "&amp;$CR$2134:$CR$2146&amp;" ",$AA46)))),"")</f>
        <v/>
      </c>
      <c r="CE46" s="581" t="str">
        <f>IF(46=46,IF($U46="","",SUMPRODUCT(--ISNUMBER(SEARCH(" "&amp;$CR$2147:$CR$2152&amp;" ",$AA46)))),"")</f>
        <v/>
      </c>
      <c r="CF46" s="581" t="str">
        <f>IF(46=46,IF($U46="","",IF((CD46)-(0)&gt;0,"X",IF((CE46)-(0)&gt;0,"?",""))),"")</f>
        <v/>
      </c>
      <c r="CG46" s="581" t="str">
        <f>IF(46=46,IF($U46="","",SUMPRODUCT(--ISNUMBER(SEARCH(" "&amp;$CR$2153:$CR$2252&amp;" ",$CJ46)))),"")</f>
        <v/>
      </c>
      <c r="CH46" s="581" t="str">
        <f>IF(46=46,IF($U46="","",SUMPRODUCT(--ISNUMBER(SEARCH(" "&amp;$CR$2253:$CR$2352&amp;" ",$CJ46)))),"")</f>
        <v/>
      </c>
      <c r="CI46" s="581" t="str">
        <f>IF(46=46,IF($U46="","",SUMPRODUCT(--ISNUMBER(SEARCH(" "&amp;$CR$2353:$CR$2395&amp;" ",$CJ46)))),"")</f>
        <v/>
      </c>
      <c r="CJ46" s="581"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c>
      <c r="CK46" s="581" t="str">
        <f>IF(46=46,IF($U46="","",SUMPRODUCT(--ISNUMBER(SEARCH(" "&amp;$CR$2412:$CR$2416&amp;" ",$CJ46)))),"")</f>
        <v/>
      </c>
      <c r="CL46" s="581" t="str">
        <f>IF(46=46,IF($U46="","",IF(SUM(CG46:CI46)&gt;0,"X",IF(CK46&gt;0,"?",""))),"")</f>
        <v/>
      </c>
      <c r="CM46" s="582"/>
      <c r="CN46" s="584" t="s">
        <v>2101</v>
      </c>
      <c r="CO46" s="584" t="s">
        <v>1887</v>
      </c>
      <c r="CP46" s="584" t="s">
        <v>1888</v>
      </c>
      <c r="CQ46" s="584" t="s">
        <v>2102</v>
      </c>
      <c r="CR46" s="584" t="s">
        <v>2102</v>
      </c>
      <c r="CS46" s="584" t="s">
        <v>1890</v>
      </c>
      <c r="CT46" s="584" t="s">
        <v>1891</v>
      </c>
      <c r="CU46" s="584" t="s">
        <v>1892</v>
      </c>
      <c r="CV46" s="585" t="s">
        <v>1893</v>
      </c>
    </row>
    <row r="47" spans="1:100" ht="21.95" customHeight="1" x14ac:dyDescent="0.25">
      <c r="A47" s="597">
        <v>41</v>
      </c>
      <c r="B47" s="598"/>
      <c r="C47" s="599" t="str">
        <f t="shared" si="0"/>
        <v/>
      </c>
      <c r="D47" s="600"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601" t="str">
        <f>IF(47=47,IF($B47="","",AF47),"")</f>
        <v/>
      </c>
      <c r="F47" s="601" t="str">
        <f>IF(47=47,IF($B47="","",AI47),"")</f>
        <v/>
      </c>
      <c r="G47" s="601" t="str">
        <f>IF(47=47,IF($B47="","",AM47),"")</f>
        <v/>
      </c>
      <c r="H47" s="601" t="str">
        <f>IF(47=47,IF($B47="","",AZ47),"")</f>
        <v/>
      </c>
      <c r="I47" s="601" t="str">
        <f>IF(47=47,IF($B47="","",BB47),"")</f>
        <v/>
      </c>
      <c r="J47" s="601" t="str">
        <f>IF(47=47,IF($B47="","",BF47),"")</f>
        <v/>
      </c>
      <c r="K47" s="601" t="str">
        <f>IF(47=47,IF($B47="","",BM47),"")</f>
        <v/>
      </c>
      <c r="L47" s="601" t="str">
        <f>IF(47=47,IF($B47="","",BQ47),"")</f>
        <v/>
      </c>
      <c r="M47" s="601" t="str">
        <f>IF(47=47,IF($B47="","",BT47),"")</f>
        <v/>
      </c>
      <c r="N47" s="601" t="str">
        <f>IF(47=47,IF($B47="","",BW47),"")</f>
        <v/>
      </c>
      <c r="O47" s="601" t="str">
        <f>IF(47=47,IF($B47="","",BZ47),"")</f>
        <v/>
      </c>
      <c r="P47" s="601" t="str">
        <f>IF(47=47,IF($B47="","",CC47),"")</f>
        <v/>
      </c>
      <c r="Q47" s="601" t="str">
        <f>IF(47=47,IF($B47="","",CF47),"")</f>
        <v/>
      </c>
      <c r="R47" s="601" t="str">
        <f>IF(47=47,IF($B47="","",CL47),"")</f>
        <v/>
      </c>
      <c r="S47" s="602"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581" t="str">
        <f>IF(47=47,IF($B47="","",$B47),"")</f>
        <v/>
      </c>
      <c r="V47" s="581" t="str">
        <f>IF(47=47,LOWER(CLEAN(SUBSTITUTE(SUBSTITUTE(SUBSTITUTE(SUBSTITUTE($U47,CHAR(160)," ")," "," "),CHAR(10)," "),CHAR(13)," "))),"")</f>
        <v/>
      </c>
      <c r="W47" s="581" t="str">
        <f>IF(47=47,SUBSTITUTE(SUBSTITUTE(SUBSTITUTE(SUBSTITUTE(SUBSTITUTE(SUBSTITUTE(SUBSTITUTE(SUBSTITUTE(SUBSTITUTE(SUBSTITUTE(SUBSTITUTE(SUBSTITUTE($V47,"œ","oe"),"æ","ae"),"à","a"),"á","a"),"â","a"),"ä","a"),"ã","a"),"ç","c"),"è","e"),"é","e"),"ê","e"),"ë","e"),"")</f>
        <v/>
      </c>
      <c r="X47" s="581" t="str">
        <f>IF(47=47,SUBSTITUTE(SUBSTITUTE(SUBSTITUTE(SUBSTITUTE(SUBSTITUTE(SUBSTITUTE(SUBSTITUTE(SUBSTITUTE(SUBSTITUTE(SUBSTITUTE(SUBSTITUTE(SUBSTITUTE(SUBSTITUTE(SUBSTITUTE(SUBSTITUTE(SUBSTITUTE($W47,"ì","i"),"í","i"),"î","i"),"ï","i"),"ñ","n"),"ò","o"),"ó","o"),"ô","o"),"ö","o"),"õ","o"),"ù","u"),"ú","u"),"û","u"),"ü","u"),"ý","y"),"ÿ","y"),"")</f>
        <v/>
      </c>
      <c r="Y47" s="581" t="str">
        <f>IF(47=47,SUBSTITUTE(SUBSTITUTE(SUBSTITUTE(SUBSTITUTE(SUBSTITUTE(SUBSTITUTE(SUBSTITUTE(SUBSTITUTE(SUBSTITUTE(SUBSTITUTE(SUBSTITUTE(SUBSTITUTE(SUBSTITUTE(SUBSTITUTE($X47,"’"," "),"`"," "),"–"," "),"—"," "),"-"," "),"'"," "),"/"," "),"_"," "),","," "),"."," "),"("," "),")"," "),";"," "),":"," "),"")</f>
        <v/>
      </c>
      <c r="Z47" s="581" t="str">
        <f>IF(47=47,SUBSTITUTE(SUBSTITUTE(SUBSTITUTE(SUBSTITUTE(SUBSTITUTE(SUBSTITUTE(SUBSTITUTE(SUBSTITUTE(SUBSTITUTE(SUBSTITUTE(SUBSTITUTE(SUBSTITUTE(SUBSTITUTE(SUBSTITUTE(SUBSTITUTE($Y47,"!"," "),"?"," "),"+"," "),"*"," "),"&amp;"," "),"["," "),"]"," "),"{"," "),"}"," "),"%"," "),"="," "),"\"," "),"|"," "),"&lt;"," "),"&gt;"," "),"")</f>
        <v/>
      </c>
      <c r="AA47" s="581" t="str">
        <f>IF(47=47," "&amp;TRIM(SUBSTITUTE(SUBSTITUTE(SUBSTITUTE(SUBSTITUTE(SUBSTITUTE(SUBSTITUTE($Z47,CHAR(34)," "),"  "," "),"  "," "),"  "," "),"  "," "),"  "," "))&amp;" ","")</f>
        <v xml:space="preserve">  </v>
      </c>
      <c r="AB47" s="581" t="str">
        <f>IF(47=47,IF($U47="","",SUMPRODUCT(--ISNUMBER(SEARCH(" "&amp;$CR$2:$CR$101&amp;" ",$AD47)))),"")</f>
        <v/>
      </c>
      <c r="AC47" s="581" t="str">
        <f>IF(47=47,IF($U47="","",SUMPRODUCT(--ISNUMBER(SEARCH(" "&amp;$CR$102:$CR$151&amp;" ",$AD47)))),"")</f>
        <v/>
      </c>
      <c r="AD47" s="581"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7" s="581" t="str">
        <f>IF(47=47,IF($U47="","",SUMPRODUCT(--ISNUMBER(SEARCH(" "&amp;$CR$184:$CR$205&amp;" ",$AD47)))),"")</f>
        <v/>
      </c>
      <c r="AF47" s="581" t="str">
        <f>IF(47=47,IF($U47="","",IF(SUM(AB47:AC47)+SUMPRODUCT(--ISNUMBER(SEARCH(" "&amp;$CR$2418:$CR$2420&amp;" ",$AD47)))&gt;0,"X",IF(AE47&gt;0,"?",""))),"")</f>
        <v/>
      </c>
      <c r="AG47" s="581" t="str">
        <f>IF(47=47,IF($U47="","",SUMPRODUCT(--ISNUMBER(SEARCH(" "&amp;$CR$206:$CR$305&amp;" ",$AA47)))),"")</f>
        <v/>
      </c>
      <c r="AH47" s="581" t="str">
        <f>IF(47=47,IF($U47="","",SUMPRODUCT(--ISNUMBER(SEARCH(" "&amp;$CR$306:$CR$340&amp;" ",$AA47)))),"")</f>
        <v/>
      </c>
      <c r="AI47" s="581" t="str">
        <f>IF(47=47,IF($U47="","",IF((SUM(AG47:AH47))-(0)&gt;0,"X",IF((0)-(0)&gt;0,"?",""))),"")</f>
        <v/>
      </c>
      <c r="AJ47" s="581" t="str">
        <f>IF(47=47,IF($U47="","",SUMPRODUCT(--ISNUMBER(SEARCH(" "&amp;$CR$341:$CR$398&amp;" ",$AA47)))),"")</f>
        <v/>
      </c>
      <c r="AK47" s="581" t="str">
        <f>IF(47=47,IF($U47="","",SUMPRODUCT(--ISNUMBER(SEARCH(" "&amp;$CR$399:$CR$426&amp;" ",$AL47)))+SUMPRODUCT(--ISNUMBER(SEARCH(" "&amp;$CR$2440:$CR$2453&amp;" ",$AL47)))),"")</f>
        <v/>
      </c>
      <c r="AL47" s="581" t="str">
        <f>IF(47=47,IF($U47="","",SUBSTITUTE(SUBSTITUTE(SUBSTITUTE(SUBSTITUTE(SUBSTITUTE(SUBSTITUTE(SUBSTITUTE(SUBSTITUTE(SUBSTITUTE(SUBSTITUTE(SUBSTITUTE(SUBSTITUTE(SUBSTITUTE($AA47," "&amp;$CR$433&amp;" "," ")," "&amp;$CR$431&amp;" "," ")," "&amp;$CR$2438&amp;" "," ")," "&amp;$CR$2439&amp;" "," ")," "&amp;$CR$428&amp;" "," ")," "&amp;$CR$432&amp;" "," ")," "&amp;$CR$434&amp;" "," ")," "&amp;$CR$429&amp;" "," ")," "&amp;$CR$427&amp;" "," ")," "&amp;$CR$1367&amp;" "," ")," "&amp;$CR$435&amp;" "," ")," "&amp;$CR$1366&amp;" "," ")," "&amp;$CR$430&amp;" "," ")),"")</f>
        <v/>
      </c>
      <c r="AM47" s="581" t="str">
        <f>IF(47=47,IF($U47="","",IF(AJ47&gt;0,"X",IF(AK47&gt;0,"?",""))),"")</f>
        <v/>
      </c>
      <c r="AN47" s="581" t="str">
        <f>IF(47=47,IF($U47="","",SUMPRODUCT(--ISNUMBER(SEARCH(" "&amp;$CR$436:$CR$535&amp;" ",$AX47)))),"")</f>
        <v/>
      </c>
      <c r="AO47" s="581" t="str">
        <f>IF(47=47,IF($U47="","",SUMPRODUCT(--ISNUMBER(SEARCH(" "&amp;$CR$536:$CR$635&amp;" ",$AX47)))),"")</f>
        <v/>
      </c>
      <c r="AP47" s="581" t="str">
        <f>IF(47=47,IF($U47="","",SUMPRODUCT(--ISNUMBER(SEARCH(" "&amp;$CR$636:$CR$735&amp;" ",$AX47)))),"")</f>
        <v/>
      </c>
      <c r="AQ47" s="581" t="str">
        <f>IF(47=47,IF($U47="","",SUMPRODUCT(--ISNUMBER(SEARCH(" "&amp;$CR$736:$CR$835&amp;" ",$AX47)))),"")</f>
        <v/>
      </c>
      <c r="AR47" s="581" t="str">
        <f>IF(47=47,IF($U47="","",SUMPRODUCT(--ISNUMBER(SEARCH(" "&amp;$CR$836:$CR$935&amp;" ",$AX47)))),"")</f>
        <v/>
      </c>
      <c r="AS47" s="581" t="str">
        <f>IF(47=47,IF($U47="","",SUMPRODUCT(--ISNUMBER(SEARCH(" "&amp;$CR$936:$CR$1035&amp;" ",$AX47)))),"")</f>
        <v/>
      </c>
      <c r="AT47" s="581" t="str">
        <f>IF(47=47,IF($U47="","",SUMPRODUCT(--ISNUMBER(SEARCH(" "&amp;$CR$1036:$CR$1135&amp;" ",$AX47)))),"")</f>
        <v/>
      </c>
      <c r="AU47" s="581" t="str">
        <f>IF(47=47,IF($U47="","",SUMPRODUCT(--ISNUMBER(SEARCH(" "&amp;$CR$1136:$CR$1235&amp;" ",$AX47)))),"")</f>
        <v/>
      </c>
      <c r="AV47" s="581" t="str">
        <f>IF(47=47,IF($U47="","",SUMPRODUCT(--ISNUMBER(SEARCH(" "&amp;$CR$1236:$CR$1335&amp;" ",$AX47)))),"")</f>
        <v/>
      </c>
      <c r="AW47" s="581" t="str">
        <f>IF(47=47,IF($U47="","",SUMPRODUCT(--ISNUMBER(SEARCH(" "&amp;$CR$1336:$CR$1363&amp;" ",$AX47)))),"")</f>
        <v/>
      </c>
      <c r="AX47" s="581" t="str">
        <f>IF(47=47,IF($U47="","",SUBSTITUTE(SUBSTITUTE(SUBSTITUTE(SUBSTITUTE(SUBSTITUTE(SUBSTITUTE(SUBSTITUTE(SUBSTITUTE(SUBSTITUTE($AA47," "&amp;$CR$1365&amp;" "," ")," "&amp;$CR$1364&amp;" "," ")," "&amp;$CR$1370&amp;" "," ")," "&amp;$CR$1371&amp;" "," ")," "&amp;$CR$1367&amp;" "," ")," "&amp;$CR$1369&amp;" "," ")," "&amp;$CR$1366&amp;" "," ")," "&amp;$CR$1368&amp;" "," ")," "&amp;$CR$1372&amp;" "," ")),"")</f>
        <v/>
      </c>
      <c r="AY47" s="581" t="str">
        <f>IF(47=47,IF($U47="","",SUMPRODUCT(--ISNUMBER(SEARCH(" "&amp;$CR$1373:$CR$1383&amp;" ",$AX47)))),"")</f>
        <v/>
      </c>
      <c r="AZ47" s="581" t="str">
        <f>IF(47=47,IF($U47="","",IF(SUM(AN47:AW47)+SUMPRODUCT(--ISNUMBER(SEARCH(" "&amp;$CR$2421:$CR$2422&amp;" ",$AX47)))&gt;0,"X",IF(AY47&gt;0,"?",""))),"")</f>
        <v/>
      </c>
      <c r="BA47" s="581" t="str">
        <f>IF(47=47,IF($U47="","",SUMPRODUCT(--ISNUMBER(SEARCH(" "&amp;$CR$1384:$CR$1404&amp;" ",$AA47)))),"")</f>
        <v/>
      </c>
      <c r="BB47" s="581" t="str">
        <f>IF(47=47,IF($U47="","",IF((BA47)-(0)&gt;0,"X",IF((0)-(0)&gt;0,"?",""))),"")</f>
        <v/>
      </c>
      <c r="BC47" s="581" t="str">
        <f>IF(47=47,IF($U47="","",SUMPRODUCT(--ISNUMBER(SEARCH(" "&amp;$CR$1405:$CR$1442&amp;" ",$BD47)))),"")</f>
        <v/>
      </c>
      <c r="BD47" s="581" t="str">
        <f>IF(47=47,IF($U47="","",SUBSTITUTE(SUBSTITUTE($AA47," "&amp;$CR$1443&amp;" "," ")," "&amp;$CR$1444&amp;" "," ")),"")</f>
        <v/>
      </c>
      <c r="BE47" s="581" t="str">
        <f>IF(47=47,IF($U47="","",SUMPRODUCT(--ISNUMBER(SEARCH(" "&amp;$CR$1445:$CR$1455&amp;" ",$BD47)))),"")</f>
        <v/>
      </c>
      <c r="BF47" s="581" t="str">
        <f>IF(47=47,IF($U47="","",IF(BC47&gt;0,"X",IF(BE47&gt;0,"?",""))),"")</f>
        <v/>
      </c>
      <c r="BG47" s="581" t="str">
        <f>IF(47=47,IF($U47="","",SUMPRODUCT(--ISNUMBER(SEARCH(" "&amp;$CR$1456:$CR$1555&amp;" ",$BJ47)))),"")</f>
        <v/>
      </c>
      <c r="BH47" s="581" t="str">
        <f>IF(47=47,IF($U47="","",SUMPRODUCT(--ISNUMBER(SEARCH(" "&amp;$CR$1556:$CR$1655&amp;" ",$BJ47)))),"")</f>
        <v/>
      </c>
      <c r="BI47" s="581" t="str">
        <f>IF(47=47,IF($U47="","",SUMPRODUCT(--ISNUMBER(SEARCH(" "&amp;$CR$1656:$CR$1739&amp;" ",$BJ47)))),"")</f>
        <v/>
      </c>
      <c r="BJ47" s="581"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7" s="581" t="str">
        <f>IF(47=47,IF($U47="","",SUMPRODUCT(--ISNUMBER(SEARCH(" "&amp;$CR$1790:$CR$1869&amp;" ",$BL47)))+SUMPRODUCT(--ISNUMBER(SEARCH(" "&amp;$CR$2440:$CR$2453&amp;" ",$BL47)))),"")</f>
        <v/>
      </c>
      <c r="BL47" s="581"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c>
      <c r="BM47" s="581" t="str">
        <f>IF(47=47,IF($U47="","",IF(SUM(BG47:BI47)+SUMPRODUCT(--ISNUMBER(SEARCH(" "&amp;$CR$2423:$CR$2424&amp;" ",$BJ47)))&gt;0,"X",IF(BK47&gt;0,"?",""))),"")</f>
        <v/>
      </c>
      <c r="BN47" s="581" t="str">
        <f>IF(47=47,IF($U47="","",SUMPRODUCT(--ISNUMBER(SEARCH(" "&amp;$CR$1879:$CR$1936&amp;" ",$BO47)))),"")</f>
        <v/>
      </c>
      <c r="BO47" s="581"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7" s="581" t="str">
        <f>IF(47=47,IF($U47="","",SUMPRODUCT(--ISNUMBER(SEARCH(" "&amp;$CR$1960:$CR$1976&amp;" ",$BO47)))),"")</f>
        <v/>
      </c>
      <c r="BQ47" s="581" t="str">
        <f>IF(47=47,IF($U47="","",IF(BN47&gt;0,"X",IF(BP47&gt;0,"?",""))),"")</f>
        <v/>
      </c>
      <c r="BR47" s="581" t="str">
        <f>IF(47=47,IF($U47="","",SUMPRODUCT(--ISNUMBER(SEARCH(" "&amp;$CR$1977:$CR$1990&amp;" ",$AA47)))),"")</f>
        <v/>
      </c>
      <c r="BS47" s="581" t="str">
        <f>IF(47=47,IF($U47="","",SUMPRODUCT(--ISNUMBER(SEARCH(" "&amp;$CR$1991:$CR$2005&amp;" ",$AA47)))),"")</f>
        <v/>
      </c>
      <c r="BT47" s="581" t="str">
        <f>IF(47=47,IF($U47="","",IF((BR47)-(0)&gt;0,"X",IF((BS47)-(0)&gt;0,"?",""))),"")</f>
        <v/>
      </c>
      <c r="BU47" s="581" t="str">
        <f>IF(47=47,IF($U47="","",SUMPRODUCT(--ISNUMBER(SEARCH(" "&amp;$CR$2006:$CR$2023&amp;" ",$AA47)))),"")</f>
        <v/>
      </c>
      <c r="BV47" s="581" t="str">
        <f>IF(47=47,IF($U47="","",SUMPRODUCT(--ISNUMBER(SEARCH(" "&amp;$CR$2024:$CR$2038&amp;" ",$AA47)))),"")</f>
        <v/>
      </c>
      <c r="BW47" s="581" t="str">
        <f>IF(47=47,IF($U47="","",IF((BU47)-(0)&gt;0,"X",IF((BV47)-(0)&gt;0,"?",""))),"")</f>
        <v/>
      </c>
      <c r="BX47" s="581" t="str">
        <f>IF(47=47,IF($U47="","",SUMPRODUCT(--ISNUMBER(SEARCH(" "&amp;$CR$2039:$CR$2057&amp;" ",$AA47)))),"")</f>
        <v/>
      </c>
      <c r="BY47" s="581" t="str">
        <f>IF(47=47,IF($U47="","",SUMPRODUCT(--ISNUMBER(SEARCH(" "&amp;$CR$2058:$CR$2072&amp;" ",$AA47)))),"")</f>
        <v/>
      </c>
      <c r="BZ47" s="581" t="str">
        <f>IF(47=47,IF($U47="","",IF((BX47)-(0)&gt;0,"X",IF((BY47)-(0)&gt;0,"?",""))),"")</f>
        <v/>
      </c>
      <c r="CA47" s="581" t="str">
        <f>IF(47=47,IF($U47="","",SUMPRODUCT(--ISNUMBER(SEARCH(" "&amp;$CR$2073:$CR$2093&amp;" ",$AA47)))),"")</f>
        <v/>
      </c>
      <c r="CB47" s="581" t="str">
        <f>IF(47=47,IF($U47="","",SUMPRODUCT(--ISNUMBER(SEARCH(" "&amp;$CR$2094:$CR$2133&amp;" ",SUBSTITUTE(SUBSTITUTE($AA47," "&amp;$CR$1367&amp;" "," ")," "&amp;$CR$1366&amp;" "," "))))+--ISNUMBER(SEARCH("poiré",$V47))),"")</f>
        <v/>
      </c>
      <c r="CC47" s="581" t="str">
        <f>IF(47=47,IF($U47="","",IF(OR(CA47&gt;0,ISNUMBER(SEARCH(" vinaigre de vin ",$AA47)),ISNUMBER(SEARCH(" vinaigre au vin ",$AA47))),"X",IF(CB47&gt;0,"?",""))),"")</f>
        <v/>
      </c>
      <c r="CD47" s="581" t="str">
        <f>IF(47=47,IF($U47="","",SUMPRODUCT(--ISNUMBER(SEARCH(" "&amp;$CR$2134:$CR$2146&amp;" ",$AA47)))),"")</f>
        <v/>
      </c>
      <c r="CE47" s="581" t="str">
        <f>IF(47=47,IF($U47="","",SUMPRODUCT(--ISNUMBER(SEARCH(" "&amp;$CR$2147:$CR$2152&amp;" ",$AA47)))),"")</f>
        <v/>
      </c>
      <c r="CF47" s="581" t="str">
        <f>IF(47=47,IF($U47="","",IF((CD47)-(0)&gt;0,"X",IF((CE47)-(0)&gt;0,"?",""))),"")</f>
        <v/>
      </c>
      <c r="CG47" s="581" t="str">
        <f>IF(47=47,IF($U47="","",SUMPRODUCT(--ISNUMBER(SEARCH(" "&amp;$CR$2153:$CR$2252&amp;" ",$CJ47)))),"")</f>
        <v/>
      </c>
      <c r="CH47" s="581" t="str">
        <f>IF(47=47,IF($U47="","",SUMPRODUCT(--ISNUMBER(SEARCH(" "&amp;$CR$2253:$CR$2352&amp;" ",$CJ47)))),"")</f>
        <v/>
      </c>
      <c r="CI47" s="581" t="str">
        <f>IF(47=47,IF($U47="","",SUMPRODUCT(--ISNUMBER(SEARCH(" "&amp;$CR$2353:$CR$2395&amp;" ",$CJ47)))),"")</f>
        <v/>
      </c>
      <c r="CJ47" s="581"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c>
      <c r="CK47" s="581" t="str">
        <f>IF(47=47,IF($U47="","",SUMPRODUCT(--ISNUMBER(SEARCH(" "&amp;$CR$2412:$CR$2416&amp;" ",$CJ47)))),"")</f>
        <v/>
      </c>
      <c r="CL47" s="581" t="str">
        <f>IF(47=47,IF($U47="","",IF(SUM(CG47:CI47)&gt;0,"X",IF(CK47&gt;0,"?",""))),"")</f>
        <v/>
      </c>
      <c r="CM47" s="582"/>
      <c r="CN47" s="584" t="s">
        <v>2103</v>
      </c>
      <c r="CO47" s="584" t="s">
        <v>1887</v>
      </c>
      <c r="CP47" s="584" t="s">
        <v>1888</v>
      </c>
      <c r="CQ47" s="584" t="s">
        <v>2104</v>
      </c>
      <c r="CR47" s="584" t="s">
        <v>2105</v>
      </c>
      <c r="CS47" s="584" t="s">
        <v>1890</v>
      </c>
      <c r="CT47" s="584" t="s">
        <v>1891</v>
      </c>
      <c r="CU47" s="584" t="s">
        <v>1892</v>
      </c>
      <c r="CV47" s="585" t="s">
        <v>1893</v>
      </c>
    </row>
    <row r="48" spans="1:100" ht="21.95" customHeight="1" x14ac:dyDescent="0.25">
      <c r="A48" s="597">
        <v>42</v>
      </c>
      <c r="B48" s="598"/>
      <c r="C48" s="599" t="str">
        <f t="shared" si="0"/>
        <v/>
      </c>
      <c r="D48" s="600"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601" t="str">
        <f>IF(48=48,IF($B48="","",AF48),"")</f>
        <v/>
      </c>
      <c r="F48" s="601" t="str">
        <f>IF(48=48,IF($B48="","",AI48),"")</f>
        <v/>
      </c>
      <c r="G48" s="601" t="str">
        <f>IF(48=48,IF($B48="","",AM48),"")</f>
        <v/>
      </c>
      <c r="H48" s="601" t="str">
        <f>IF(48=48,IF($B48="","",AZ48),"")</f>
        <v/>
      </c>
      <c r="I48" s="601" t="str">
        <f>IF(48=48,IF($B48="","",BB48),"")</f>
        <v/>
      </c>
      <c r="J48" s="601" t="str">
        <f>IF(48=48,IF($B48="","",BF48),"")</f>
        <v/>
      </c>
      <c r="K48" s="601" t="str">
        <f>IF(48=48,IF($B48="","",BM48),"")</f>
        <v/>
      </c>
      <c r="L48" s="601" t="str">
        <f>IF(48=48,IF($B48="","",BQ48),"")</f>
        <v/>
      </c>
      <c r="M48" s="601" t="str">
        <f>IF(48=48,IF($B48="","",BT48),"")</f>
        <v/>
      </c>
      <c r="N48" s="601" t="str">
        <f>IF(48=48,IF($B48="","",BW48),"")</f>
        <v/>
      </c>
      <c r="O48" s="601" t="str">
        <f>IF(48=48,IF($B48="","",BZ48),"")</f>
        <v/>
      </c>
      <c r="P48" s="601" t="str">
        <f>IF(48=48,IF($B48="","",CC48),"")</f>
        <v/>
      </c>
      <c r="Q48" s="601" t="str">
        <f>IF(48=48,IF($B48="","",CF48),"")</f>
        <v/>
      </c>
      <c r="R48" s="601" t="str">
        <f>IF(48=48,IF($B48="","",CL48),"")</f>
        <v/>
      </c>
      <c r="S48" s="602"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581" t="str">
        <f>IF(48=48,IF($B48="","",$B48),"")</f>
        <v/>
      </c>
      <c r="V48" s="581" t="str">
        <f>IF(48=48,LOWER(CLEAN(SUBSTITUTE(SUBSTITUTE(SUBSTITUTE(SUBSTITUTE($U48,CHAR(160)," ")," "," "),CHAR(10)," "),CHAR(13)," "))),"")</f>
        <v/>
      </c>
      <c r="W48" s="581" t="str">
        <f>IF(48=48,SUBSTITUTE(SUBSTITUTE(SUBSTITUTE(SUBSTITUTE(SUBSTITUTE(SUBSTITUTE(SUBSTITUTE(SUBSTITUTE(SUBSTITUTE(SUBSTITUTE(SUBSTITUTE(SUBSTITUTE($V48,"œ","oe"),"æ","ae"),"à","a"),"á","a"),"â","a"),"ä","a"),"ã","a"),"ç","c"),"è","e"),"é","e"),"ê","e"),"ë","e"),"")</f>
        <v/>
      </c>
      <c r="X48" s="581" t="str">
        <f>IF(48=48,SUBSTITUTE(SUBSTITUTE(SUBSTITUTE(SUBSTITUTE(SUBSTITUTE(SUBSTITUTE(SUBSTITUTE(SUBSTITUTE(SUBSTITUTE(SUBSTITUTE(SUBSTITUTE(SUBSTITUTE(SUBSTITUTE(SUBSTITUTE(SUBSTITUTE(SUBSTITUTE($W48,"ì","i"),"í","i"),"î","i"),"ï","i"),"ñ","n"),"ò","o"),"ó","o"),"ô","o"),"ö","o"),"õ","o"),"ù","u"),"ú","u"),"û","u"),"ü","u"),"ý","y"),"ÿ","y"),"")</f>
        <v/>
      </c>
      <c r="Y48" s="581" t="str">
        <f>IF(48=48,SUBSTITUTE(SUBSTITUTE(SUBSTITUTE(SUBSTITUTE(SUBSTITUTE(SUBSTITUTE(SUBSTITUTE(SUBSTITUTE(SUBSTITUTE(SUBSTITUTE(SUBSTITUTE(SUBSTITUTE(SUBSTITUTE(SUBSTITUTE($X48,"’"," "),"`"," "),"–"," "),"—"," "),"-"," "),"'"," "),"/"," "),"_"," "),","," "),"."," "),"("," "),")"," "),";"," "),":"," "),"")</f>
        <v/>
      </c>
      <c r="Z48" s="581" t="str">
        <f>IF(48=48,SUBSTITUTE(SUBSTITUTE(SUBSTITUTE(SUBSTITUTE(SUBSTITUTE(SUBSTITUTE(SUBSTITUTE(SUBSTITUTE(SUBSTITUTE(SUBSTITUTE(SUBSTITUTE(SUBSTITUTE(SUBSTITUTE(SUBSTITUTE(SUBSTITUTE($Y48,"!"," "),"?"," "),"+"," "),"*"," "),"&amp;"," "),"["," "),"]"," "),"{"," "),"}"," "),"%"," "),"="," "),"\"," "),"|"," "),"&lt;"," "),"&gt;"," "),"")</f>
        <v/>
      </c>
      <c r="AA48" s="581" t="str">
        <f>IF(48=48," "&amp;TRIM(SUBSTITUTE(SUBSTITUTE(SUBSTITUTE(SUBSTITUTE(SUBSTITUTE(SUBSTITUTE($Z48,CHAR(34)," "),"  "," "),"  "," "),"  "," "),"  "," "),"  "," "))&amp;" ","")</f>
        <v xml:space="preserve">  </v>
      </c>
      <c r="AB48" s="581" t="str">
        <f>IF(48=48,IF($U48="","",SUMPRODUCT(--ISNUMBER(SEARCH(" "&amp;$CR$2:$CR$101&amp;" ",$AD48)))),"")</f>
        <v/>
      </c>
      <c r="AC48" s="581" t="str">
        <f>IF(48=48,IF($U48="","",SUMPRODUCT(--ISNUMBER(SEARCH(" "&amp;$CR$102:$CR$151&amp;" ",$AD48)))),"")</f>
        <v/>
      </c>
      <c r="AD48" s="581"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8" s="581" t="str">
        <f>IF(48=48,IF($U48="","",SUMPRODUCT(--ISNUMBER(SEARCH(" "&amp;$CR$184:$CR$205&amp;" ",$AD48)))),"")</f>
        <v/>
      </c>
      <c r="AF48" s="581" t="str">
        <f>IF(48=48,IF($U48="","",IF(SUM(AB48:AC48)+SUMPRODUCT(--ISNUMBER(SEARCH(" "&amp;$CR$2418:$CR$2420&amp;" ",$AD48)))&gt;0,"X",IF(AE48&gt;0,"?",""))),"")</f>
        <v/>
      </c>
      <c r="AG48" s="581" t="str">
        <f>IF(48=48,IF($U48="","",SUMPRODUCT(--ISNUMBER(SEARCH(" "&amp;$CR$206:$CR$305&amp;" ",$AA48)))),"")</f>
        <v/>
      </c>
      <c r="AH48" s="581" t="str">
        <f>IF(48=48,IF($U48="","",SUMPRODUCT(--ISNUMBER(SEARCH(" "&amp;$CR$306:$CR$340&amp;" ",$AA48)))),"")</f>
        <v/>
      </c>
      <c r="AI48" s="581" t="str">
        <f>IF(48=48,IF($U48="","",IF((SUM(AG48:AH48))-(0)&gt;0,"X",IF((0)-(0)&gt;0,"?",""))),"")</f>
        <v/>
      </c>
      <c r="AJ48" s="581" t="str">
        <f>IF(48=48,IF($U48="","",SUMPRODUCT(--ISNUMBER(SEARCH(" "&amp;$CR$341:$CR$398&amp;" ",$AA48)))),"")</f>
        <v/>
      </c>
      <c r="AK48" s="581" t="str">
        <f>IF(48=48,IF($U48="","",SUMPRODUCT(--ISNUMBER(SEARCH(" "&amp;$CR$399:$CR$426&amp;" ",$AL48)))+SUMPRODUCT(--ISNUMBER(SEARCH(" "&amp;$CR$2440:$CR$2453&amp;" ",$AL48)))),"")</f>
        <v/>
      </c>
      <c r="AL48" s="581" t="str">
        <f>IF(48=48,IF($U48="","",SUBSTITUTE(SUBSTITUTE(SUBSTITUTE(SUBSTITUTE(SUBSTITUTE(SUBSTITUTE(SUBSTITUTE(SUBSTITUTE(SUBSTITUTE(SUBSTITUTE(SUBSTITUTE(SUBSTITUTE(SUBSTITUTE($AA48," "&amp;$CR$433&amp;" "," ")," "&amp;$CR$431&amp;" "," ")," "&amp;$CR$2438&amp;" "," ")," "&amp;$CR$2439&amp;" "," ")," "&amp;$CR$428&amp;" "," ")," "&amp;$CR$432&amp;" "," ")," "&amp;$CR$434&amp;" "," ")," "&amp;$CR$429&amp;" "," ")," "&amp;$CR$427&amp;" "," ")," "&amp;$CR$1367&amp;" "," ")," "&amp;$CR$435&amp;" "," ")," "&amp;$CR$1366&amp;" "," ")," "&amp;$CR$430&amp;" "," ")),"")</f>
        <v/>
      </c>
      <c r="AM48" s="581" t="str">
        <f>IF(48=48,IF($U48="","",IF(AJ48&gt;0,"X",IF(AK48&gt;0,"?",""))),"")</f>
        <v/>
      </c>
      <c r="AN48" s="581" t="str">
        <f>IF(48=48,IF($U48="","",SUMPRODUCT(--ISNUMBER(SEARCH(" "&amp;$CR$436:$CR$535&amp;" ",$AX48)))),"")</f>
        <v/>
      </c>
      <c r="AO48" s="581" t="str">
        <f>IF(48=48,IF($U48="","",SUMPRODUCT(--ISNUMBER(SEARCH(" "&amp;$CR$536:$CR$635&amp;" ",$AX48)))),"")</f>
        <v/>
      </c>
      <c r="AP48" s="581" t="str">
        <f>IF(48=48,IF($U48="","",SUMPRODUCT(--ISNUMBER(SEARCH(" "&amp;$CR$636:$CR$735&amp;" ",$AX48)))),"")</f>
        <v/>
      </c>
      <c r="AQ48" s="581" t="str">
        <f>IF(48=48,IF($U48="","",SUMPRODUCT(--ISNUMBER(SEARCH(" "&amp;$CR$736:$CR$835&amp;" ",$AX48)))),"")</f>
        <v/>
      </c>
      <c r="AR48" s="581" t="str">
        <f>IF(48=48,IF($U48="","",SUMPRODUCT(--ISNUMBER(SEARCH(" "&amp;$CR$836:$CR$935&amp;" ",$AX48)))),"")</f>
        <v/>
      </c>
      <c r="AS48" s="581" t="str">
        <f>IF(48=48,IF($U48="","",SUMPRODUCT(--ISNUMBER(SEARCH(" "&amp;$CR$936:$CR$1035&amp;" ",$AX48)))),"")</f>
        <v/>
      </c>
      <c r="AT48" s="581" t="str">
        <f>IF(48=48,IF($U48="","",SUMPRODUCT(--ISNUMBER(SEARCH(" "&amp;$CR$1036:$CR$1135&amp;" ",$AX48)))),"")</f>
        <v/>
      </c>
      <c r="AU48" s="581" t="str">
        <f>IF(48=48,IF($U48="","",SUMPRODUCT(--ISNUMBER(SEARCH(" "&amp;$CR$1136:$CR$1235&amp;" ",$AX48)))),"")</f>
        <v/>
      </c>
      <c r="AV48" s="581" t="str">
        <f>IF(48=48,IF($U48="","",SUMPRODUCT(--ISNUMBER(SEARCH(" "&amp;$CR$1236:$CR$1335&amp;" ",$AX48)))),"")</f>
        <v/>
      </c>
      <c r="AW48" s="581" t="str">
        <f>IF(48=48,IF($U48="","",SUMPRODUCT(--ISNUMBER(SEARCH(" "&amp;$CR$1336:$CR$1363&amp;" ",$AX48)))),"")</f>
        <v/>
      </c>
      <c r="AX48" s="581" t="str">
        <f>IF(48=48,IF($U48="","",SUBSTITUTE(SUBSTITUTE(SUBSTITUTE(SUBSTITUTE(SUBSTITUTE(SUBSTITUTE(SUBSTITUTE(SUBSTITUTE(SUBSTITUTE($AA48," "&amp;$CR$1365&amp;" "," ")," "&amp;$CR$1364&amp;" "," ")," "&amp;$CR$1370&amp;" "," ")," "&amp;$CR$1371&amp;" "," ")," "&amp;$CR$1367&amp;" "," ")," "&amp;$CR$1369&amp;" "," ")," "&amp;$CR$1366&amp;" "," ")," "&amp;$CR$1368&amp;" "," ")," "&amp;$CR$1372&amp;" "," ")),"")</f>
        <v/>
      </c>
      <c r="AY48" s="581" t="str">
        <f>IF(48=48,IF($U48="","",SUMPRODUCT(--ISNUMBER(SEARCH(" "&amp;$CR$1373:$CR$1383&amp;" ",$AX48)))),"")</f>
        <v/>
      </c>
      <c r="AZ48" s="581" t="str">
        <f>IF(48=48,IF($U48="","",IF(SUM(AN48:AW48)+SUMPRODUCT(--ISNUMBER(SEARCH(" "&amp;$CR$2421:$CR$2422&amp;" ",$AX48)))&gt;0,"X",IF(AY48&gt;0,"?",""))),"")</f>
        <v/>
      </c>
      <c r="BA48" s="581" t="str">
        <f>IF(48=48,IF($U48="","",SUMPRODUCT(--ISNUMBER(SEARCH(" "&amp;$CR$1384:$CR$1404&amp;" ",$AA48)))),"")</f>
        <v/>
      </c>
      <c r="BB48" s="581" t="str">
        <f>IF(48=48,IF($U48="","",IF((BA48)-(0)&gt;0,"X",IF((0)-(0)&gt;0,"?",""))),"")</f>
        <v/>
      </c>
      <c r="BC48" s="581" t="str">
        <f>IF(48=48,IF($U48="","",SUMPRODUCT(--ISNUMBER(SEARCH(" "&amp;$CR$1405:$CR$1442&amp;" ",$BD48)))),"")</f>
        <v/>
      </c>
      <c r="BD48" s="581" t="str">
        <f>IF(48=48,IF($U48="","",SUBSTITUTE(SUBSTITUTE($AA48," "&amp;$CR$1443&amp;" "," ")," "&amp;$CR$1444&amp;" "," ")),"")</f>
        <v/>
      </c>
      <c r="BE48" s="581" t="str">
        <f>IF(48=48,IF($U48="","",SUMPRODUCT(--ISNUMBER(SEARCH(" "&amp;$CR$1445:$CR$1455&amp;" ",$BD48)))),"")</f>
        <v/>
      </c>
      <c r="BF48" s="581" t="str">
        <f>IF(48=48,IF($U48="","",IF(BC48&gt;0,"X",IF(BE48&gt;0,"?",""))),"")</f>
        <v/>
      </c>
      <c r="BG48" s="581" t="str">
        <f>IF(48=48,IF($U48="","",SUMPRODUCT(--ISNUMBER(SEARCH(" "&amp;$CR$1456:$CR$1555&amp;" ",$BJ48)))),"")</f>
        <v/>
      </c>
      <c r="BH48" s="581" t="str">
        <f>IF(48=48,IF($U48="","",SUMPRODUCT(--ISNUMBER(SEARCH(" "&amp;$CR$1556:$CR$1655&amp;" ",$BJ48)))),"")</f>
        <v/>
      </c>
      <c r="BI48" s="581" t="str">
        <f>IF(48=48,IF($U48="","",SUMPRODUCT(--ISNUMBER(SEARCH(" "&amp;$CR$1656:$CR$1739&amp;" ",$BJ48)))),"")</f>
        <v/>
      </c>
      <c r="BJ48" s="581"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8" s="581" t="str">
        <f>IF(48=48,IF($U48="","",SUMPRODUCT(--ISNUMBER(SEARCH(" "&amp;$CR$1790:$CR$1869&amp;" ",$BL48)))+SUMPRODUCT(--ISNUMBER(SEARCH(" "&amp;$CR$2440:$CR$2453&amp;" ",$BL48)))),"")</f>
        <v/>
      </c>
      <c r="BL48" s="581"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c>
      <c r="BM48" s="581" t="str">
        <f>IF(48=48,IF($U48="","",IF(SUM(BG48:BI48)+SUMPRODUCT(--ISNUMBER(SEARCH(" "&amp;$CR$2423:$CR$2424&amp;" ",$BJ48)))&gt;0,"X",IF(BK48&gt;0,"?",""))),"")</f>
        <v/>
      </c>
      <c r="BN48" s="581" t="str">
        <f>IF(48=48,IF($U48="","",SUMPRODUCT(--ISNUMBER(SEARCH(" "&amp;$CR$1879:$CR$1936&amp;" ",$BO48)))),"")</f>
        <v/>
      </c>
      <c r="BO48" s="581"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8" s="581" t="str">
        <f>IF(48=48,IF($U48="","",SUMPRODUCT(--ISNUMBER(SEARCH(" "&amp;$CR$1960:$CR$1976&amp;" ",$BO48)))),"")</f>
        <v/>
      </c>
      <c r="BQ48" s="581" t="str">
        <f>IF(48=48,IF($U48="","",IF(BN48&gt;0,"X",IF(BP48&gt;0,"?",""))),"")</f>
        <v/>
      </c>
      <c r="BR48" s="581" t="str">
        <f>IF(48=48,IF($U48="","",SUMPRODUCT(--ISNUMBER(SEARCH(" "&amp;$CR$1977:$CR$1990&amp;" ",$AA48)))),"")</f>
        <v/>
      </c>
      <c r="BS48" s="581" t="str">
        <f>IF(48=48,IF($U48="","",SUMPRODUCT(--ISNUMBER(SEARCH(" "&amp;$CR$1991:$CR$2005&amp;" ",$AA48)))),"")</f>
        <v/>
      </c>
      <c r="BT48" s="581" t="str">
        <f>IF(48=48,IF($U48="","",IF((BR48)-(0)&gt;0,"X",IF((BS48)-(0)&gt;0,"?",""))),"")</f>
        <v/>
      </c>
      <c r="BU48" s="581" t="str">
        <f>IF(48=48,IF($U48="","",SUMPRODUCT(--ISNUMBER(SEARCH(" "&amp;$CR$2006:$CR$2023&amp;" ",$AA48)))),"")</f>
        <v/>
      </c>
      <c r="BV48" s="581" t="str">
        <f>IF(48=48,IF($U48="","",SUMPRODUCT(--ISNUMBER(SEARCH(" "&amp;$CR$2024:$CR$2038&amp;" ",$AA48)))),"")</f>
        <v/>
      </c>
      <c r="BW48" s="581" t="str">
        <f>IF(48=48,IF($U48="","",IF((BU48)-(0)&gt;0,"X",IF((BV48)-(0)&gt;0,"?",""))),"")</f>
        <v/>
      </c>
      <c r="BX48" s="581" t="str">
        <f>IF(48=48,IF($U48="","",SUMPRODUCT(--ISNUMBER(SEARCH(" "&amp;$CR$2039:$CR$2057&amp;" ",$AA48)))),"")</f>
        <v/>
      </c>
      <c r="BY48" s="581" t="str">
        <f>IF(48=48,IF($U48="","",SUMPRODUCT(--ISNUMBER(SEARCH(" "&amp;$CR$2058:$CR$2072&amp;" ",$AA48)))),"")</f>
        <v/>
      </c>
      <c r="BZ48" s="581" t="str">
        <f>IF(48=48,IF($U48="","",IF((BX48)-(0)&gt;0,"X",IF((BY48)-(0)&gt;0,"?",""))),"")</f>
        <v/>
      </c>
      <c r="CA48" s="581" t="str">
        <f>IF(48=48,IF($U48="","",SUMPRODUCT(--ISNUMBER(SEARCH(" "&amp;$CR$2073:$CR$2093&amp;" ",$AA48)))),"")</f>
        <v/>
      </c>
      <c r="CB48" s="581" t="str">
        <f>IF(48=48,IF($U48="","",SUMPRODUCT(--ISNUMBER(SEARCH(" "&amp;$CR$2094:$CR$2133&amp;" ",SUBSTITUTE(SUBSTITUTE($AA48," "&amp;$CR$1367&amp;" "," ")," "&amp;$CR$1366&amp;" "," "))))+--ISNUMBER(SEARCH("poiré",$V48))),"")</f>
        <v/>
      </c>
      <c r="CC48" s="581" t="str">
        <f>IF(48=48,IF($U48="","",IF(OR(CA48&gt;0,ISNUMBER(SEARCH(" vinaigre de vin ",$AA48)),ISNUMBER(SEARCH(" vinaigre au vin ",$AA48))),"X",IF(CB48&gt;0,"?",""))),"")</f>
        <v/>
      </c>
      <c r="CD48" s="581" t="str">
        <f>IF(48=48,IF($U48="","",SUMPRODUCT(--ISNUMBER(SEARCH(" "&amp;$CR$2134:$CR$2146&amp;" ",$AA48)))),"")</f>
        <v/>
      </c>
      <c r="CE48" s="581" t="str">
        <f>IF(48=48,IF($U48="","",SUMPRODUCT(--ISNUMBER(SEARCH(" "&amp;$CR$2147:$CR$2152&amp;" ",$AA48)))),"")</f>
        <v/>
      </c>
      <c r="CF48" s="581" t="str">
        <f>IF(48=48,IF($U48="","",IF((CD48)-(0)&gt;0,"X",IF((CE48)-(0)&gt;0,"?",""))),"")</f>
        <v/>
      </c>
      <c r="CG48" s="581" t="str">
        <f>IF(48=48,IF($U48="","",SUMPRODUCT(--ISNUMBER(SEARCH(" "&amp;$CR$2153:$CR$2252&amp;" ",$CJ48)))),"")</f>
        <v/>
      </c>
      <c r="CH48" s="581" t="str">
        <f>IF(48=48,IF($U48="","",SUMPRODUCT(--ISNUMBER(SEARCH(" "&amp;$CR$2253:$CR$2352&amp;" ",$CJ48)))),"")</f>
        <v/>
      </c>
      <c r="CI48" s="581" t="str">
        <f>IF(48=48,IF($U48="","",SUMPRODUCT(--ISNUMBER(SEARCH(" "&amp;$CR$2353:$CR$2395&amp;" ",$CJ48)))),"")</f>
        <v/>
      </c>
      <c r="CJ48" s="581"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c>
      <c r="CK48" s="581" t="str">
        <f>IF(48=48,IF($U48="","",SUMPRODUCT(--ISNUMBER(SEARCH(" "&amp;$CR$2412:$CR$2416&amp;" ",$CJ48)))),"")</f>
        <v/>
      </c>
      <c r="CL48" s="581" t="str">
        <f>IF(48=48,IF($U48="","",IF(SUM(CG48:CI48)&gt;0,"X",IF(CK48&gt;0,"?",""))),"")</f>
        <v/>
      </c>
      <c r="CM48" s="582"/>
      <c r="CN48" s="584" t="s">
        <v>2106</v>
      </c>
      <c r="CO48" s="584" t="s">
        <v>1887</v>
      </c>
      <c r="CP48" s="584" t="s">
        <v>1888</v>
      </c>
      <c r="CQ48" s="584" t="s">
        <v>2107</v>
      </c>
      <c r="CR48" s="584" t="s">
        <v>2107</v>
      </c>
      <c r="CS48" s="584" t="s">
        <v>1890</v>
      </c>
      <c r="CT48" s="584" t="s">
        <v>1891</v>
      </c>
      <c r="CU48" s="584" t="s">
        <v>1892</v>
      </c>
      <c r="CV48" s="585" t="s">
        <v>1893</v>
      </c>
    </row>
    <row r="49" spans="1:100" ht="21.95" customHeight="1" x14ac:dyDescent="0.25">
      <c r="A49" s="597">
        <v>43</v>
      </c>
      <c r="B49" s="598"/>
      <c r="C49" s="599" t="str">
        <f t="shared" si="0"/>
        <v/>
      </c>
      <c r="D49" s="600"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601" t="str">
        <f>IF(49=49,IF($B49="","",AF49),"")</f>
        <v/>
      </c>
      <c r="F49" s="601" t="str">
        <f>IF(49=49,IF($B49="","",AI49),"")</f>
        <v/>
      </c>
      <c r="G49" s="601" t="str">
        <f>IF(49=49,IF($B49="","",AM49),"")</f>
        <v/>
      </c>
      <c r="H49" s="601" t="str">
        <f>IF(49=49,IF($B49="","",AZ49),"")</f>
        <v/>
      </c>
      <c r="I49" s="601" t="str">
        <f>IF(49=49,IF($B49="","",BB49),"")</f>
        <v/>
      </c>
      <c r="J49" s="601" t="str">
        <f>IF(49=49,IF($B49="","",BF49),"")</f>
        <v/>
      </c>
      <c r="K49" s="601" t="str">
        <f>IF(49=49,IF($B49="","",BM49),"")</f>
        <v/>
      </c>
      <c r="L49" s="601" t="str">
        <f>IF(49=49,IF($B49="","",BQ49),"")</f>
        <v/>
      </c>
      <c r="M49" s="601" t="str">
        <f>IF(49=49,IF($B49="","",BT49),"")</f>
        <v/>
      </c>
      <c r="N49" s="601" t="str">
        <f>IF(49=49,IF($B49="","",BW49),"")</f>
        <v/>
      </c>
      <c r="O49" s="601" t="str">
        <f>IF(49=49,IF($B49="","",BZ49),"")</f>
        <v/>
      </c>
      <c r="P49" s="601" t="str">
        <f>IF(49=49,IF($B49="","",CC49),"")</f>
        <v/>
      </c>
      <c r="Q49" s="601" t="str">
        <f>IF(49=49,IF($B49="","",CF49),"")</f>
        <v/>
      </c>
      <c r="R49" s="601" t="str">
        <f>IF(49=49,IF($B49="","",CL49),"")</f>
        <v/>
      </c>
      <c r="S49" s="602"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581" t="str">
        <f>IF(49=49,IF($B49="","",$B49),"")</f>
        <v/>
      </c>
      <c r="V49" s="581" t="str">
        <f>IF(49=49,LOWER(CLEAN(SUBSTITUTE(SUBSTITUTE(SUBSTITUTE(SUBSTITUTE($U49,CHAR(160)," ")," "," "),CHAR(10)," "),CHAR(13)," "))),"")</f>
        <v/>
      </c>
      <c r="W49" s="581" t="str">
        <f>IF(49=49,SUBSTITUTE(SUBSTITUTE(SUBSTITUTE(SUBSTITUTE(SUBSTITUTE(SUBSTITUTE(SUBSTITUTE(SUBSTITUTE(SUBSTITUTE(SUBSTITUTE(SUBSTITUTE(SUBSTITUTE($V49,"œ","oe"),"æ","ae"),"à","a"),"á","a"),"â","a"),"ä","a"),"ã","a"),"ç","c"),"è","e"),"é","e"),"ê","e"),"ë","e"),"")</f>
        <v/>
      </c>
      <c r="X49" s="581" t="str">
        <f>IF(49=49,SUBSTITUTE(SUBSTITUTE(SUBSTITUTE(SUBSTITUTE(SUBSTITUTE(SUBSTITUTE(SUBSTITUTE(SUBSTITUTE(SUBSTITUTE(SUBSTITUTE(SUBSTITUTE(SUBSTITUTE(SUBSTITUTE(SUBSTITUTE(SUBSTITUTE(SUBSTITUTE($W49,"ì","i"),"í","i"),"î","i"),"ï","i"),"ñ","n"),"ò","o"),"ó","o"),"ô","o"),"ö","o"),"õ","o"),"ù","u"),"ú","u"),"û","u"),"ü","u"),"ý","y"),"ÿ","y"),"")</f>
        <v/>
      </c>
      <c r="Y49" s="581" t="str">
        <f>IF(49=49,SUBSTITUTE(SUBSTITUTE(SUBSTITUTE(SUBSTITUTE(SUBSTITUTE(SUBSTITUTE(SUBSTITUTE(SUBSTITUTE(SUBSTITUTE(SUBSTITUTE(SUBSTITUTE(SUBSTITUTE(SUBSTITUTE(SUBSTITUTE($X49,"’"," "),"`"," "),"–"," "),"—"," "),"-"," "),"'"," "),"/"," "),"_"," "),","," "),"."," "),"("," "),")"," "),";"," "),":"," "),"")</f>
        <v/>
      </c>
      <c r="Z49" s="581" t="str">
        <f>IF(49=49,SUBSTITUTE(SUBSTITUTE(SUBSTITUTE(SUBSTITUTE(SUBSTITUTE(SUBSTITUTE(SUBSTITUTE(SUBSTITUTE(SUBSTITUTE(SUBSTITUTE(SUBSTITUTE(SUBSTITUTE(SUBSTITUTE(SUBSTITUTE(SUBSTITUTE($Y49,"!"," "),"?"," "),"+"," "),"*"," "),"&amp;"," "),"["," "),"]"," "),"{"," "),"}"," "),"%"," "),"="," "),"\"," "),"|"," "),"&lt;"," "),"&gt;"," "),"")</f>
        <v/>
      </c>
      <c r="AA49" s="581" t="str">
        <f>IF(49=49," "&amp;TRIM(SUBSTITUTE(SUBSTITUTE(SUBSTITUTE(SUBSTITUTE(SUBSTITUTE(SUBSTITUTE($Z49,CHAR(34)," "),"  "," "),"  "," "),"  "," "),"  "," "),"  "," "))&amp;" ","")</f>
        <v xml:space="preserve">  </v>
      </c>
      <c r="AB49" s="581" t="str">
        <f>IF(49=49,IF($U49="","",SUMPRODUCT(--ISNUMBER(SEARCH(" "&amp;$CR$2:$CR$101&amp;" ",$AD49)))),"")</f>
        <v/>
      </c>
      <c r="AC49" s="581" t="str">
        <f>IF(49=49,IF($U49="","",SUMPRODUCT(--ISNUMBER(SEARCH(" "&amp;$CR$102:$CR$151&amp;" ",$AD49)))),"")</f>
        <v/>
      </c>
      <c r="AD49" s="581"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49" s="581" t="str">
        <f>IF(49=49,IF($U49="","",SUMPRODUCT(--ISNUMBER(SEARCH(" "&amp;$CR$184:$CR$205&amp;" ",$AD49)))),"")</f>
        <v/>
      </c>
      <c r="AF49" s="581" t="str">
        <f>IF(49=49,IF($U49="","",IF(SUM(AB49:AC49)+SUMPRODUCT(--ISNUMBER(SEARCH(" "&amp;$CR$2418:$CR$2420&amp;" ",$AD49)))&gt;0,"X",IF(AE49&gt;0,"?",""))),"")</f>
        <v/>
      </c>
      <c r="AG49" s="581" t="str">
        <f>IF(49=49,IF($U49="","",SUMPRODUCT(--ISNUMBER(SEARCH(" "&amp;$CR$206:$CR$305&amp;" ",$AA49)))),"")</f>
        <v/>
      </c>
      <c r="AH49" s="581" t="str">
        <f>IF(49=49,IF($U49="","",SUMPRODUCT(--ISNUMBER(SEARCH(" "&amp;$CR$306:$CR$340&amp;" ",$AA49)))),"")</f>
        <v/>
      </c>
      <c r="AI49" s="581" t="str">
        <f>IF(49=49,IF($U49="","",IF((SUM(AG49:AH49))-(0)&gt;0,"X",IF((0)-(0)&gt;0,"?",""))),"")</f>
        <v/>
      </c>
      <c r="AJ49" s="581" t="str">
        <f>IF(49=49,IF($U49="","",SUMPRODUCT(--ISNUMBER(SEARCH(" "&amp;$CR$341:$CR$398&amp;" ",$AA49)))),"")</f>
        <v/>
      </c>
      <c r="AK49" s="581" t="str">
        <f>IF(49=49,IF($U49="","",SUMPRODUCT(--ISNUMBER(SEARCH(" "&amp;$CR$399:$CR$426&amp;" ",$AL49)))+SUMPRODUCT(--ISNUMBER(SEARCH(" "&amp;$CR$2440:$CR$2453&amp;" ",$AL49)))),"")</f>
        <v/>
      </c>
      <c r="AL49" s="581" t="str">
        <f>IF(49=49,IF($U49="","",SUBSTITUTE(SUBSTITUTE(SUBSTITUTE(SUBSTITUTE(SUBSTITUTE(SUBSTITUTE(SUBSTITUTE(SUBSTITUTE(SUBSTITUTE(SUBSTITUTE(SUBSTITUTE(SUBSTITUTE(SUBSTITUTE($AA49," "&amp;$CR$433&amp;" "," ")," "&amp;$CR$431&amp;" "," ")," "&amp;$CR$2438&amp;" "," ")," "&amp;$CR$2439&amp;" "," ")," "&amp;$CR$428&amp;" "," ")," "&amp;$CR$432&amp;" "," ")," "&amp;$CR$434&amp;" "," ")," "&amp;$CR$429&amp;" "," ")," "&amp;$CR$427&amp;" "," ")," "&amp;$CR$1367&amp;" "," ")," "&amp;$CR$435&amp;" "," ")," "&amp;$CR$1366&amp;" "," ")," "&amp;$CR$430&amp;" "," ")),"")</f>
        <v/>
      </c>
      <c r="AM49" s="581" t="str">
        <f>IF(49=49,IF($U49="","",IF(AJ49&gt;0,"X",IF(AK49&gt;0,"?",""))),"")</f>
        <v/>
      </c>
      <c r="AN49" s="581" t="str">
        <f>IF(49=49,IF($U49="","",SUMPRODUCT(--ISNUMBER(SEARCH(" "&amp;$CR$436:$CR$535&amp;" ",$AX49)))),"")</f>
        <v/>
      </c>
      <c r="AO49" s="581" t="str">
        <f>IF(49=49,IF($U49="","",SUMPRODUCT(--ISNUMBER(SEARCH(" "&amp;$CR$536:$CR$635&amp;" ",$AX49)))),"")</f>
        <v/>
      </c>
      <c r="AP49" s="581" t="str">
        <f>IF(49=49,IF($U49="","",SUMPRODUCT(--ISNUMBER(SEARCH(" "&amp;$CR$636:$CR$735&amp;" ",$AX49)))),"")</f>
        <v/>
      </c>
      <c r="AQ49" s="581" t="str">
        <f>IF(49=49,IF($U49="","",SUMPRODUCT(--ISNUMBER(SEARCH(" "&amp;$CR$736:$CR$835&amp;" ",$AX49)))),"")</f>
        <v/>
      </c>
      <c r="AR49" s="581" t="str">
        <f>IF(49=49,IF($U49="","",SUMPRODUCT(--ISNUMBER(SEARCH(" "&amp;$CR$836:$CR$935&amp;" ",$AX49)))),"")</f>
        <v/>
      </c>
      <c r="AS49" s="581" t="str">
        <f>IF(49=49,IF($U49="","",SUMPRODUCT(--ISNUMBER(SEARCH(" "&amp;$CR$936:$CR$1035&amp;" ",$AX49)))),"")</f>
        <v/>
      </c>
      <c r="AT49" s="581" t="str">
        <f>IF(49=49,IF($U49="","",SUMPRODUCT(--ISNUMBER(SEARCH(" "&amp;$CR$1036:$CR$1135&amp;" ",$AX49)))),"")</f>
        <v/>
      </c>
      <c r="AU49" s="581" t="str">
        <f>IF(49=49,IF($U49="","",SUMPRODUCT(--ISNUMBER(SEARCH(" "&amp;$CR$1136:$CR$1235&amp;" ",$AX49)))),"")</f>
        <v/>
      </c>
      <c r="AV49" s="581" t="str">
        <f>IF(49=49,IF($U49="","",SUMPRODUCT(--ISNUMBER(SEARCH(" "&amp;$CR$1236:$CR$1335&amp;" ",$AX49)))),"")</f>
        <v/>
      </c>
      <c r="AW49" s="581" t="str">
        <f>IF(49=49,IF($U49="","",SUMPRODUCT(--ISNUMBER(SEARCH(" "&amp;$CR$1336:$CR$1363&amp;" ",$AX49)))),"")</f>
        <v/>
      </c>
      <c r="AX49" s="581" t="str">
        <f>IF(49=49,IF($U49="","",SUBSTITUTE(SUBSTITUTE(SUBSTITUTE(SUBSTITUTE(SUBSTITUTE(SUBSTITUTE(SUBSTITUTE(SUBSTITUTE(SUBSTITUTE($AA49," "&amp;$CR$1365&amp;" "," ")," "&amp;$CR$1364&amp;" "," ")," "&amp;$CR$1370&amp;" "," ")," "&amp;$CR$1371&amp;" "," ")," "&amp;$CR$1367&amp;" "," ")," "&amp;$CR$1369&amp;" "," ")," "&amp;$CR$1366&amp;" "," ")," "&amp;$CR$1368&amp;" "," ")," "&amp;$CR$1372&amp;" "," ")),"")</f>
        <v/>
      </c>
      <c r="AY49" s="581" t="str">
        <f>IF(49=49,IF($U49="","",SUMPRODUCT(--ISNUMBER(SEARCH(" "&amp;$CR$1373:$CR$1383&amp;" ",$AX49)))),"")</f>
        <v/>
      </c>
      <c r="AZ49" s="581" t="str">
        <f>IF(49=49,IF($U49="","",IF(SUM(AN49:AW49)+SUMPRODUCT(--ISNUMBER(SEARCH(" "&amp;$CR$2421:$CR$2422&amp;" ",$AX49)))&gt;0,"X",IF(AY49&gt;0,"?",""))),"")</f>
        <v/>
      </c>
      <c r="BA49" s="581" t="str">
        <f>IF(49=49,IF($U49="","",SUMPRODUCT(--ISNUMBER(SEARCH(" "&amp;$CR$1384:$CR$1404&amp;" ",$AA49)))),"")</f>
        <v/>
      </c>
      <c r="BB49" s="581" t="str">
        <f>IF(49=49,IF($U49="","",IF((BA49)-(0)&gt;0,"X",IF((0)-(0)&gt;0,"?",""))),"")</f>
        <v/>
      </c>
      <c r="BC49" s="581" t="str">
        <f>IF(49=49,IF($U49="","",SUMPRODUCT(--ISNUMBER(SEARCH(" "&amp;$CR$1405:$CR$1442&amp;" ",$BD49)))),"")</f>
        <v/>
      </c>
      <c r="BD49" s="581" t="str">
        <f>IF(49=49,IF($U49="","",SUBSTITUTE(SUBSTITUTE($AA49," "&amp;$CR$1443&amp;" "," ")," "&amp;$CR$1444&amp;" "," ")),"")</f>
        <v/>
      </c>
      <c r="BE49" s="581" t="str">
        <f>IF(49=49,IF($U49="","",SUMPRODUCT(--ISNUMBER(SEARCH(" "&amp;$CR$1445:$CR$1455&amp;" ",$BD49)))),"")</f>
        <v/>
      </c>
      <c r="BF49" s="581" t="str">
        <f>IF(49=49,IF($U49="","",IF(BC49&gt;0,"X",IF(BE49&gt;0,"?",""))),"")</f>
        <v/>
      </c>
      <c r="BG49" s="581" t="str">
        <f>IF(49=49,IF($U49="","",SUMPRODUCT(--ISNUMBER(SEARCH(" "&amp;$CR$1456:$CR$1555&amp;" ",$BJ49)))),"")</f>
        <v/>
      </c>
      <c r="BH49" s="581" t="str">
        <f>IF(49=49,IF($U49="","",SUMPRODUCT(--ISNUMBER(SEARCH(" "&amp;$CR$1556:$CR$1655&amp;" ",$BJ49)))),"")</f>
        <v/>
      </c>
      <c r="BI49" s="581" t="str">
        <f>IF(49=49,IF($U49="","",SUMPRODUCT(--ISNUMBER(SEARCH(" "&amp;$CR$1656:$CR$1739&amp;" ",$BJ49)))),"")</f>
        <v/>
      </c>
      <c r="BJ49" s="581"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49" s="581" t="str">
        <f>IF(49=49,IF($U49="","",SUMPRODUCT(--ISNUMBER(SEARCH(" "&amp;$CR$1790:$CR$1869&amp;" ",$BL49)))+SUMPRODUCT(--ISNUMBER(SEARCH(" "&amp;$CR$2440:$CR$2453&amp;" ",$BL49)))),"")</f>
        <v/>
      </c>
      <c r="BL49" s="581"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c>
      <c r="BM49" s="581" t="str">
        <f>IF(49=49,IF($U49="","",IF(SUM(BG49:BI49)+SUMPRODUCT(--ISNUMBER(SEARCH(" "&amp;$CR$2423:$CR$2424&amp;" ",$BJ49)))&gt;0,"X",IF(BK49&gt;0,"?",""))),"")</f>
        <v/>
      </c>
      <c r="BN49" s="581" t="str">
        <f>IF(49=49,IF($U49="","",SUMPRODUCT(--ISNUMBER(SEARCH(" "&amp;$CR$1879:$CR$1936&amp;" ",$BO49)))),"")</f>
        <v/>
      </c>
      <c r="BO49" s="581"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49" s="581" t="str">
        <f>IF(49=49,IF($U49="","",SUMPRODUCT(--ISNUMBER(SEARCH(" "&amp;$CR$1960:$CR$1976&amp;" ",$BO49)))),"")</f>
        <v/>
      </c>
      <c r="BQ49" s="581" t="str">
        <f>IF(49=49,IF($U49="","",IF(BN49&gt;0,"X",IF(BP49&gt;0,"?",""))),"")</f>
        <v/>
      </c>
      <c r="BR49" s="581" t="str">
        <f>IF(49=49,IF($U49="","",SUMPRODUCT(--ISNUMBER(SEARCH(" "&amp;$CR$1977:$CR$1990&amp;" ",$AA49)))),"")</f>
        <v/>
      </c>
      <c r="BS49" s="581" t="str">
        <f>IF(49=49,IF($U49="","",SUMPRODUCT(--ISNUMBER(SEARCH(" "&amp;$CR$1991:$CR$2005&amp;" ",$AA49)))),"")</f>
        <v/>
      </c>
      <c r="BT49" s="581" t="str">
        <f>IF(49=49,IF($U49="","",IF((BR49)-(0)&gt;0,"X",IF((BS49)-(0)&gt;0,"?",""))),"")</f>
        <v/>
      </c>
      <c r="BU49" s="581" t="str">
        <f>IF(49=49,IF($U49="","",SUMPRODUCT(--ISNUMBER(SEARCH(" "&amp;$CR$2006:$CR$2023&amp;" ",$AA49)))),"")</f>
        <v/>
      </c>
      <c r="BV49" s="581" t="str">
        <f>IF(49=49,IF($U49="","",SUMPRODUCT(--ISNUMBER(SEARCH(" "&amp;$CR$2024:$CR$2038&amp;" ",$AA49)))),"")</f>
        <v/>
      </c>
      <c r="BW49" s="581" t="str">
        <f>IF(49=49,IF($U49="","",IF((BU49)-(0)&gt;0,"X",IF((BV49)-(0)&gt;0,"?",""))),"")</f>
        <v/>
      </c>
      <c r="BX49" s="581" t="str">
        <f>IF(49=49,IF($U49="","",SUMPRODUCT(--ISNUMBER(SEARCH(" "&amp;$CR$2039:$CR$2057&amp;" ",$AA49)))),"")</f>
        <v/>
      </c>
      <c r="BY49" s="581" t="str">
        <f>IF(49=49,IF($U49="","",SUMPRODUCT(--ISNUMBER(SEARCH(" "&amp;$CR$2058:$CR$2072&amp;" ",$AA49)))),"")</f>
        <v/>
      </c>
      <c r="BZ49" s="581" t="str">
        <f>IF(49=49,IF($U49="","",IF((BX49)-(0)&gt;0,"X",IF((BY49)-(0)&gt;0,"?",""))),"")</f>
        <v/>
      </c>
      <c r="CA49" s="581" t="str">
        <f>IF(49=49,IF($U49="","",SUMPRODUCT(--ISNUMBER(SEARCH(" "&amp;$CR$2073:$CR$2093&amp;" ",$AA49)))),"")</f>
        <v/>
      </c>
      <c r="CB49" s="581" t="str">
        <f>IF(49=49,IF($U49="","",SUMPRODUCT(--ISNUMBER(SEARCH(" "&amp;$CR$2094:$CR$2133&amp;" ",SUBSTITUTE(SUBSTITUTE($AA49," "&amp;$CR$1367&amp;" "," ")," "&amp;$CR$1366&amp;" "," "))))+--ISNUMBER(SEARCH("poiré",$V49))),"")</f>
        <v/>
      </c>
      <c r="CC49" s="581" t="str">
        <f>IF(49=49,IF($U49="","",IF(OR(CA49&gt;0,ISNUMBER(SEARCH(" vinaigre de vin ",$AA49)),ISNUMBER(SEARCH(" vinaigre au vin ",$AA49))),"X",IF(CB49&gt;0,"?",""))),"")</f>
        <v/>
      </c>
      <c r="CD49" s="581" t="str">
        <f>IF(49=49,IF($U49="","",SUMPRODUCT(--ISNUMBER(SEARCH(" "&amp;$CR$2134:$CR$2146&amp;" ",$AA49)))),"")</f>
        <v/>
      </c>
      <c r="CE49" s="581" t="str">
        <f>IF(49=49,IF($U49="","",SUMPRODUCT(--ISNUMBER(SEARCH(" "&amp;$CR$2147:$CR$2152&amp;" ",$AA49)))),"")</f>
        <v/>
      </c>
      <c r="CF49" s="581" t="str">
        <f>IF(49=49,IF($U49="","",IF((CD49)-(0)&gt;0,"X",IF((CE49)-(0)&gt;0,"?",""))),"")</f>
        <v/>
      </c>
      <c r="CG49" s="581" t="str">
        <f>IF(49=49,IF($U49="","",SUMPRODUCT(--ISNUMBER(SEARCH(" "&amp;$CR$2153:$CR$2252&amp;" ",$CJ49)))),"")</f>
        <v/>
      </c>
      <c r="CH49" s="581" t="str">
        <f>IF(49=49,IF($U49="","",SUMPRODUCT(--ISNUMBER(SEARCH(" "&amp;$CR$2253:$CR$2352&amp;" ",$CJ49)))),"")</f>
        <v/>
      </c>
      <c r="CI49" s="581" t="str">
        <f>IF(49=49,IF($U49="","",SUMPRODUCT(--ISNUMBER(SEARCH(" "&amp;$CR$2353:$CR$2395&amp;" ",$CJ49)))),"")</f>
        <v/>
      </c>
      <c r="CJ49" s="581"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c>
      <c r="CK49" s="581" t="str">
        <f>IF(49=49,IF($U49="","",SUMPRODUCT(--ISNUMBER(SEARCH(" "&amp;$CR$2412:$CR$2416&amp;" ",$CJ49)))),"")</f>
        <v/>
      </c>
      <c r="CL49" s="581" t="str">
        <f>IF(49=49,IF($U49="","",IF(SUM(CG49:CI49)&gt;0,"X",IF(CK49&gt;0,"?",""))),"")</f>
        <v/>
      </c>
      <c r="CM49" s="582"/>
      <c r="CN49" s="584" t="s">
        <v>2108</v>
      </c>
      <c r="CO49" s="584" t="s">
        <v>1887</v>
      </c>
      <c r="CP49" s="584" t="s">
        <v>1888</v>
      </c>
      <c r="CQ49" s="584" t="s">
        <v>2109</v>
      </c>
      <c r="CR49" s="584" t="s">
        <v>2110</v>
      </c>
      <c r="CS49" s="584" t="s">
        <v>1890</v>
      </c>
      <c r="CT49" s="584" t="s">
        <v>1891</v>
      </c>
      <c r="CU49" s="584" t="s">
        <v>1892</v>
      </c>
      <c r="CV49" s="585" t="s">
        <v>1893</v>
      </c>
    </row>
    <row r="50" spans="1:100" ht="21.95" customHeight="1" x14ac:dyDescent="0.25">
      <c r="A50" s="597">
        <v>44</v>
      </c>
      <c r="B50" s="598"/>
      <c r="C50" s="599" t="str">
        <f t="shared" si="0"/>
        <v/>
      </c>
      <c r="D50" s="600"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601" t="str">
        <f>IF(50=50,IF($B50="","",AF50),"")</f>
        <v/>
      </c>
      <c r="F50" s="601" t="str">
        <f>IF(50=50,IF($B50="","",AI50),"")</f>
        <v/>
      </c>
      <c r="G50" s="601" t="str">
        <f>IF(50=50,IF($B50="","",AM50),"")</f>
        <v/>
      </c>
      <c r="H50" s="601" t="str">
        <f>IF(50=50,IF($B50="","",AZ50),"")</f>
        <v/>
      </c>
      <c r="I50" s="601" t="str">
        <f>IF(50=50,IF($B50="","",BB50),"")</f>
        <v/>
      </c>
      <c r="J50" s="601" t="str">
        <f>IF(50=50,IF($B50="","",BF50),"")</f>
        <v/>
      </c>
      <c r="K50" s="601" t="str">
        <f>IF(50=50,IF($B50="","",BM50),"")</f>
        <v/>
      </c>
      <c r="L50" s="601" t="str">
        <f>IF(50=50,IF($B50="","",BQ50),"")</f>
        <v/>
      </c>
      <c r="M50" s="601" t="str">
        <f>IF(50=50,IF($B50="","",BT50),"")</f>
        <v/>
      </c>
      <c r="N50" s="601" t="str">
        <f>IF(50=50,IF($B50="","",BW50),"")</f>
        <v/>
      </c>
      <c r="O50" s="601" t="str">
        <f>IF(50=50,IF($B50="","",BZ50),"")</f>
        <v/>
      </c>
      <c r="P50" s="601" t="str">
        <f>IF(50=50,IF($B50="","",CC50),"")</f>
        <v/>
      </c>
      <c r="Q50" s="601" t="str">
        <f>IF(50=50,IF($B50="","",CF50),"")</f>
        <v/>
      </c>
      <c r="R50" s="601" t="str">
        <f>IF(50=50,IF($B50="","",CL50),"")</f>
        <v/>
      </c>
      <c r="S50" s="602"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581" t="str">
        <f>IF(50=50,IF($B50="","",$B50),"")</f>
        <v/>
      </c>
      <c r="V50" s="581" t="str">
        <f>IF(50=50,LOWER(CLEAN(SUBSTITUTE(SUBSTITUTE(SUBSTITUTE(SUBSTITUTE($U50,CHAR(160)," ")," "," "),CHAR(10)," "),CHAR(13)," "))),"")</f>
        <v/>
      </c>
      <c r="W50" s="581" t="str">
        <f>IF(50=50,SUBSTITUTE(SUBSTITUTE(SUBSTITUTE(SUBSTITUTE(SUBSTITUTE(SUBSTITUTE(SUBSTITUTE(SUBSTITUTE(SUBSTITUTE(SUBSTITUTE(SUBSTITUTE(SUBSTITUTE($V50,"œ","oe"),"æ","ae"),"à","a"),"á","a"),"â","a"),"ä","a"),"ã","a"),"ç","c"),"è","e"),"é","e"),"ê","e"),"ë","e"),"")</f>
        <v/>
      </c>
      <c r="X50" s="581" t="str">
        <f>IF(50=50,SUBSTITUTE(SUBSTITUTE(SUBSTITUTE(SUBSTITUTE(SUBSTITUTE(SUBSTITUTE(SUBSTITUTE(SUBSTITUTE(SUBSTITUTE(SUBSTITUTE(SUBSTITUTE(SUBSTITUTE(SUBSTITUTE(SUBSTITUTE(SUBSTITUTE(SUBSTITUTE($W50,"ì","i"),"í","i"),"î","i"),"ï","i"),"ñ","n"),"ò","o"),"ó","o"),"ô","o"),"ö","o"),"õ","o"),"ù","u"),"ú","u"),"û","u"),"ü","u"),"ý","y"),"ÿ","y"),"")</f>
        <v/>
      </c>
      <c r="Y50" s="581" t="str">
        <f>IF(50=50,SUBSTITUTE(SUBSTITUTE(SUBSTITUTE(SUBSTITUTE(SUBSTITUTE(SUBSTITUTE(SUBSTITUTE(SUBSTITUTE(SUBSTITUTE(SUBSTITUTE(SUBSTITUTE(SUBSTITUTE(SUBSTITUTE(SUBSTITUTE($X50,"’"," "),"`"," "),"–"," "),"—"," "),"-"," "),"'"," "),"/"," "),"_"," "),","," "),"."," "),"("," "),")"," "),";"," "),":"," "),"")</f>
        <v/>
      </c>
      <c r="Z50" s="581" t="str">
        <f>IF(50=50,SUBSTITUTE(SUBSTITUTE(SUBSTITUTE(SUBSTITUTE(SUBSTITUTE(SUBSTITUTE(SUBSTITUTE(SUBSTITUTE(SUBSTITUTE(SUBSTITUTE(SUBSTITUTE(SUBSTITUTE(SUBSTITUTE(SUBSTITUTE(SUBSTITUTE($Y50,"!"," "),"?"," "),"+"," "),"*"," "),"&amp;"," "),"["," "),"]"," "),"{"," "),"}"," "),"%"," "),"="," "),"\"," "),"|"," "),"&lt;"," "),"&gt;"," "),"")</f>
        <v/>
      </c>
      <c r="AA50" s="581" t="str">
        <f>IF(50=50," "&amp;TRIM(SUBSTITUTE(SUBSTITUTE(SUBSTITUTE(SUBSTITUTE(SUBSTITUTE(SUBSTITUTE($Z50,CHAR(34)," "),"  "," "),"  "," "),"  "," "),"  "," "),"  "," "))&amp;" ","")</f>
        <v xml:space="preserve">  </v>
      </c>
      <c r="AB50" s="581" t="str">
        <f>IF(50=50,IF($U50="","",SUMPRODUCT(--ISNUMBER(SEARCH(" "&amp;$CR$2:$CR$101&amp;" ",$AD50)))),"")</f>
        <v/>
      </c>
      <c r="AC50" s="581" t="str">
        <f>IF(50=50,IF($U50="","",SUMPRODUCT(--ISNUMBER(SEARCH(" "&amp;$CR$102:$CR$151&amp;" ",$AD50)))),"")</f>
        <v/>
      </c>
      <c r="AD50" s="581"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0" s="581" t="str">
        <f>IF(50=50,IF($U50="","",SUMPRODUCT(--ISNUMBER(SEARCH(" "&amp;$CR$184:$CR$205&amp;" ",$AD50)))),"")</f>
        <v/>
      </c>
      <c r="AF50" s="581" t="str">
        <f>IF(50=50,IF($U50="","",IF(SUM(AB50:AC50)+SUMPRODUCT(--ISNUMBER(SEARCH(" "&amp;$CR$2418:$CR$2420&amp;" ",$AD50)))&gt;0,"X",IF(AE50&gt;0,"?",""))),"")</f>
        <v/>
      </c>
      <c r="AG50" s="581" t="str">
        <f>IF(50=50,IF($U50="","",SUMPRODUCT(--ISNUMBER(SEARCH(" "&amp;$CR$206:$CR$305&amp;" ",$AA50)))),"")</f>
        <v/>
      </c>
      <c r="AH50" s="581" t="str">
        <f>IF(50=50,IF($U50="","",SUMPRODUCT(--ISNUMBER(SEARCH(" "&amp;$CR$306:$CR$340&amp;" ",$AA50)))),"")</f>
        <v/>
      </c>
      <c r="AI50" s="581" t="str">
        <f>IF(50=50,IF($U50="","",IF((SUM(AG50:AH50))-(0)&gt;0,"X",IF((0)-(0)&gt;0,"?",""))),"")</f>
        <v/>
      </c>
      <c r="AJ50" s="581" t="str">
        <f>IF(50=50,IF($U50="","",SUMPRODUCT(--ISNUMBER(SEARCH(" "&amp;$CR$341:$CR$398&amp;" ",$AA50)))),"")</f>
        <v/>
      </c>
      <c r="AK50" s="581" t="str">
        <f>IF(50=50,IF($U50="","",SUMPRODUCT(--ISNUMBER(SEARCH(" "&amp;$CR$399:$CR$426&amp;" ",$AL50)))+SUMPRODUCT(--ISNUMBER(SEARCH(" "&amp;$CR$2440:$CR$2453&amp;" ",$AL50)))),"")</f>
        <v/>
      </c>
      <c r="AL50" s="581" t="str">
        <f>IF(50=50,IF($U50="","",SUBSTITUTE(SUBSTITUTE(SUBSTITUTE(SUBSTITUTE(SUBSTITUTE(SUBSTITUTE(SUBSTITUTE(SUBSTITUTE(SUBSTITUTE(SUBSTITUTE(SUBSTITUTE(SUBSTITUTE(SUBSTITUTE($AA50," "&amp;$CR$433&amp;" "," ")," "&amp;$CR$431&amp;" "," ")," "&amp;$CR$2438&amp;" "," ")," "&amp;$CR$2439&amp;" "," ")," "&amp;$CR$428&amp;" "," ")," "&amp;$CR$432&amp;" "," ")," "&amp;$CR$434&amp;" "," ")," "&amp;$CR$429&amp;" "," ")," "&amp;$CR$427&amp;" "," ")," "&amp;$CR$1367&amp;" "," ")," "&amp;$CR$435&amp;" "," ")," "&amp;$CR$1366&amp;" "," ")," "&amp;$CR$430&amp;" "," ")),"")</f>
        <v/>
      </c>
      <c r="AM50" s="581" t="str">
        <f>IF(50=50,IF($U50="","",IF(AJ50&gt;0,"X",IF(AK50&gt;0,"?",""))),"")</f>
        <v/>
      </c>
      <c r="AN50" s="581" t="str">
        <f>IF(50=50,IF($U50="","",SUMPRODUCT(--ISNUMBER(SEARCH(" "&amp;$CR$436:$CR$535&amp;" ",$AX50)))),"")</f>
        <v/>
      </c>
      <c r="AO50" s="581" t="str">
        <f>IF(50=50,IF($U50="","",SUMPRODUCT(--ISNUMBER(SEARCH(" "&amp;$CR$536:$CR$635&amp;" ",$AX50)))),"")</f>
        <v/>
      </c>
      <c r="AP50" s="581" t="str">
        <f>IF(50=50,IF($U50="","",SUMPRODUCT(--ISNUMBER(SEARCH(" "&amp;$CR$636:$CR$735&amp;" ",$AX50)))),"")</f>
        <v/>
      </c>
      <c r="AQ50" s="581" t="str">
        <f>IF(50=50,IF($U50="","",SUMPRODUCT(--ISNUMBER(SEARCH(" "&amp;$CR$736:$CR$835&amp;" ",$AX50)))),"")</f>
        <v/>
      </c>
      <c r="AR50" s="581" t="str">
        <f>IF(50=50,IF($U50="","",SUMPRODUCT(--ISNUMBER(SEARCH(" "&amp;$CR$836:$CR$935&amp;" ",$AX50)))),"")</f>
        <v/>
      </c>
      <c r="AS50" s="581" t="str">
        <f>IF(50=50,IF($U50="","",SUMPRODUCT(--ISNUMBER(SEARCH(" "&amp;$CR$936:$CR$1035&amp;" ",$AX50)))),"")</f>
        <v/>
      </c>
      <c r="AT50" s="581" t="str">
        <f>IF(50=50,IF($U50="","",SUMPRODUCT(--ISNUMBER(SEARCH(" "&amp;$CR$1036:$CR$1135&amp;" ",$AX50)))),"")</f>
        <v/>
      </c>
      <c r="AU50" s="581" t="str">
        <f>IF(50=50,IF($U50="","",SUMPRODUCT(--ISNUMBER(SEARCH(" "&amp;$CR$1136:$CR$1235&amp;" ",$AX50)))),"")</f>
        <v/>
      </c>
      <c r="AV50" s="581" t="str">
        <f>IF(50=50,IF($U50="","",SUMPRODUCT(--ISNUMBER(SEARCH(" "&amp;$CR$1236:$CR$1335&amp;" ",$AX50)))),"")</f>
        <v/>
      </c>
      <c r="AW50" s="581" t="str">
        <f>IF(50=50,IF($U50="","",SUMPRODUCT(--ISNUMBER(SEARCH(" "&amp;$CR$1336:$CR$1363&amp;" ",$AX50)))),"")</f>
        <v/>
      </c>
      <c r="AX50" s="581" t="str">
        <f>IF(50=50,IF($U50="","",SUBSTITUTE(SUBSTITUTE(SUBSTITUTE(SUBSTITUTE(SUBSTITUTE(SUBSTITUTE(SUBSTITUTE(SUBSTITUTE(SUBSTITUTE($AA50," "&amp;$CR$1365&amp;" "," ")," "&amp;$CR$1364&amp;" "," ")," "&amp;$CR$1370&amp;" "," ")," "&amp;$CR$1371&amp;" "," ")," "&amp;$CR$1367&amp;" "," ")," "&amp;$CR$1369&amp;" "," ")," "&amp;$CR$1366&amp;" "," ")," "&amp;$CR$1368&amp;" "," ")," "&amp;$CR$1372&amp;" "," ")),"")</f>
        <v/>
      </c>
      <c r="AY50" s="581" t="str">
        <f>IF(50=50,IF($U50="","",SUMPRODUCT(--ISNUMBER(SEARCH(" "&amp;$CR$1373:$CR$1383&amp;" ",$AX50)))),"")</f>
        <v/>
      </c>
      <c r="AZ50" s="581" t="str">
        <f>IF(50=50,IF($U50="","",IF(SUM(AN50:AW50)+SUMPRODUCT(--ISNUMBER(SEARCH(" "&amp;$CR$2421:$CR$2422&amp;" ",$AX50)))&gt;0,"X",IF(AY50&gt;0,"?",""))),"")</f>
        <v/>
      </c>
      <c r="BA50" s="581" t="str">
        <f>IF(50=50,IF($U50="","",SUMPRODUCT(--ISNUMBER(SEARCH(" "&amp;$CR$1384:$CR$1404&amp;" ",$AA50)))),"")</f>
        <v/>
      </c>
      <c r="BB50" s="581" t="str">
        <f>IF(50=50,IF($U50="","",IF((BA50)-(0)&gt;0,"X",IF((0)-(0)&gt;0,"?",""))),"")</f>
        <v/>
      </c>
      <c r="BC50" s="581" t="str">
        <f>IF(50=50,IF($U50="","",SUMPRODUCT(--ISNUMBER(SEARCH(" "&amp;$CR$1405:$CR$1442&amp;" ",$BD50)))),"")</f>
        <v/>
      </c>
      <c r="BD50" s="581" t="str">
        <f>IF(50=50,IF($U50="","",SUBSTITUTE(SUBSTITUTE($AA50," "&amp;$CR$1443&amp;" "," ")," "&amp;$CR$1444&amp;" "," ")),"")</f>
        <v/>
      </c>
      <c r="BE50" s="581" t="str">
        <f>IF(50=50,IF($U50="","",SUMPRODUCT(--ISNUMBER(SEARCH(" "&amp;$CR$1445:$CR$1455&amp;" ",$BD50)))),"")</f>
        <v/>
      </c>
      <c r="BF50" s="581" t="str">
        <f>IF(50=50,IF($U50="","",IF(BC50&gt;0,"X",IF(BE50&gt;0,"?",""))),"")</f>
        <v/>
      </c>
      <c r="BG50" s="581" t="str">
        <f>IF(50=50,IF($U50="","",SUMPRODUCT(--ISNUMBER(SEARCH(" "&amp;$CR$1456:$CR$1555&amp;" ",$BJ50)))),"")</f>
        <v/>
      </c>
      <c r="BH50" s="581" t="str">
        <f>IF(50=50,IF($U50="","",SUMPRODUCT(--ISNUMBER(SEARCH(" "&amp;$CR$1556:$CR$1655&amp;" ",$BJ50)))),"")</f>
        <v/>
      </c>
      <c r="BI50" s="581" t="str">
        <f>IF(50=50,IF($U50="","",SUMPRODUCT(--ISNUMBER(SEARCH(" "&amp;$CR$1656:$CR$1739&amp;" ",$BJ50)))),"")</f>
        <v/>
      </c>
      <c r="BJ50" s="581"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0" s="581" t="str">
        <f>IF(50=50,IF($U50="","",SUMPRODUCT(--ISNUMBER(SEARCH(" "&amp;$CR$1790:$CR$1869&amp;" ",$BL50)))+SUMPRODUCT(--ISNUMBER(SEARCH(" "&amp;$CR$2440:$CR$2453&amp;" ",$BL50)))),"")</f>
        <v/>
      </c>
      <c r="BL50" s="581"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c>
      <c r="BM50" s="581" t="str">
        <f>IF(50=50,IF($U50="","",IF(SUM(BG50:BI50)+SUMPRODUCT(--ISNUMBER(SEARCH(" "&amp;$CR$2423:$CR$2424&amp;" ",$BJ50)))&gt;0,"X",IF(BK50&gt;0,"?",""))),"")</f>
        <v/>
      </c>
      <c r="BN50" s="581" t="str">
        <f>IF(50=50,IF($U50="","",SUMPRODUCT(--ISNUMBER(SEARCH(" "&amp;$CR$1879:$CR$1936&amp;" ",$BO50)))),"")</f>
        <v/>
      </c>
      <c r="BO50" s="581"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0" s="581" t="str">
        <f>IF(50=50,IF($U50="","",SUMPRODUCT(--ISNUMBER(SEARCH(" "&amp;$CR$1960:$CR$1976&amp;" ",$BO50)))),"")</f>
        <v/>
      </c>
      <c r="BQ50" s="581" t="str">
        <f>IF(50=50,IF($U50="","",IF(BN50&gt;0,"X",IF(BP50&gt;0,"?",""))),"")</f>
        <v/>
      </c>
      <c r="BR50" s="581" t="str">
        <f>IF(50=50,IF($U50="","",SUMPRODUCT(--ISNUMBER(SEARCH(" "&amp;$CR$1977:$CR$1990&amp;" ",$AA50)))),"")</f>
        <v/>
      </c>
      <c r="BS50" s="581" t="str">
        <f>IF(50=50,IF($U50="","",SUMPRODUCT(--ISNUMBER(SEARCH(" "&amp;$CR$1991:$CR$2005&amp;" ",$AA50)))),"")</f>
        <v/>
      </c>
      <c r="BT50" s="581" t="str">
        <f>IF(50=50,IF($U50="","",IF((BR50)-(0)&gt;0,"X",IF((BS50)-(0)&gt;0,"?",""))),"")</f>
        <v/>
      </c>
      <c r="BU50" s="581" t="str">
        <f>IF(50=50,IF($U50="","",SUMPRODUCT(--ISNUMBER(SEARCH(" "&amp;$CR$2006:$CR$2023&amp;" ",$AA50)))),"")</f>
        <v/>
      </c>
      <c r="BV50" s="581" t="str">
        <f>IF(50=50,IF($U50="","",SUMPRODUCT(--ISNUMBER(SEARCH(" "&amp;$CR$2024:$CR$2038&amp;" ",$AA50)))),"")</f>
        <v/>
      </c>
      <c r="BW50" s="581" t="str">
        <f>IF(50=50,IF($U50="","",IF((BU50)-(0)&gt;0,"X",IF((BV50)-(0)&gt;0,"?",""))),"")</f>
        <v/>
      </c>
      <c r="BX50" s="581" t="str">
        <f>IF(50=50,IF($U50="","",SUMPRODUCT(--ISNUMBER(SEARCH(" "&amp;$CR$2039:$CR$2057&amp;" ",$AA50)))),"")</f>
        <v/>
      </c>
      <c r="BY50" s="581" t="str">
        <f>IF(50=50,IF($U50="","",SUMPRODUCT(--ISNUMBER(SEARCH(" "&amp;$CR$2058:$CR$2072&amp;" ",$AA50)))),"")</f>
        <v/>
      </c>
      <c r="BZ50" s="581" t="str">
        <f>IF(50=50,IF($U50="","",IF((BX50)-(0)&gt;0,"X",IF((BY50)-(0)&gt;0,"?",""))),"")</f>
        <v/>
      </c>
      <c r="CA50" s="581" t="str">
        <f>IF(50=50,IF($U50="","",SUMPRODUCT(--ISNUMBER(SEARCH(" "&amp;$CR$2073:$CR$2093&amp;" ",$AA50)))),"")</f>
        <v/>
      </c>
      <c r="CB50" s="581" t="str">
        <f>IF(50=50,IF($U50="","",SUMPRODUCT(--ISNUMBER(SEARCH(" "&amp;$CR$2094:$CR$2133&amp;" ",SUBSTITUTE(SUBSTITUTE($AA50," "&amp;$CR$1367&amp;" "," ")," "&amp;$CR$1366&amp;" "," "))))+--ISNUMBER(SEARCH("poiré",$V50))),"")</f>
        <v/>
      </c>
      <c r="CC50" s="581" t="str">
        <f>IF(50=50,IF($U50="","",IF(OR(CA50&gt;0,ISNUMBER(SEARCH(" vinaigre de vin ",$AA50)),ISNUMBER(SEARCH(" vinaigre au vin ",$AA50))),"X",IF(CB50&gt;0,"?",""))),"")</f>
        <v/>
      </c>
      <c r="CD50" s="581" t="str">
        <f>IF(50=50,IF($U50="","",SUMPRODUCT(--ISNUMBER(SEARCH(" "&amp;$CR$2134:$CR$2146&amp;" ",$AA50)))),"")</f>
        <v/>
      </c>
      <c r="CE50" s="581" t="str">
        <f>IF(50=50,IF($U50="","",SUMPRODUCT(--ISNUMBER(SEARCH(" "&amp;$CR$2147:$CR$2152&amp;" ",$AA50)))),"")</f>
        <v/>
      </c>
      <c r="CF50" s="581" t="str">
        <f>IF(50=50,IF($U50="","",IF((CD50)-(0)&gt;0,"X",IF((CE50)-(0)&gt;0,"?",""))),"")</f>
        <v/>
      </c>
      <c r="CG50" s="581" t="str">
        <f>IF(50=50,IF($U50="","",SUMPRODUCT(--ISNUMBER(SEARCH(" "&amp;$CR$2153:$CR$2252&amp;" ",$CJ50)))),"")</f>
        <v/>
      </c>
      <c r="CH50" s="581" t="str">
        <f>IF(50=50,IF($U50="","",SUMPRODUCT(--ISNUMBER(SEARCH(" "&amp;$CR$2253:$CR$2352&amp;" ",$CJ50)))),"")</f>
        <v/>
      </c>
      <c r="CI50" s="581" t="str">
        <f>IF(50=50,IF($U50="","",SUMPRODUCT(--ISNUMBER(SEARCH(" "&amp;$CR$2353:$CR$2395&amp;" ",$CJ50)))),"")</f>
        <v/>
      </c>
      <c r="CJ50" s="581"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c>
      <c r="CK50" s="581" t="str">
        <f>IF(50=50,IF($U50="","",SUMPRODUCT(--ISNUMBER(SEARCH(" "&amp;$CR$2412:$CR$2416&amp;" ",$CJ50)))),"")</f>
        <v/>
      </c>
      <c r="CL50" s="581" t="str">
        <f>IF(50=50,IF($U50="","",IF(SUM(CG50:CI50)&gt;0,"X",IF(CK50&gt;0,"?",""))),"")</f>
        <v/>
      </c>
      <c r="CM50" s="582"/>
      <c r="CN50" s="584" t="s">
        <v>2111</v>
      </c>
      <c r="CO50" s="584" t="s">
        <v>1887</v>
      </c>
      <c r="CP50" s="584" t="s">
        <v>1888</v>
      </c>
      <c r="CQ50" s="584" t="s">
        <v>2112</v>
      </c>
      <c r="CR50" s="584" t="s">
        <v>2112</v>
      </c>
      <c r="CS50" s="584" t="s">
        <v>1890</v>
      </c>
      <c r="CT50" s="584" t="s">
        <v>1891</v>
      </c>
      <c r="CU50" s="584" t="s">
        <v>1892</v>
      </c>
      <c r="CV50" s="585" t="s">
        <v>1893</v>
      </c>
    </row>
    <row r="51" spans="1:100" ht="21.95" customHeight="1" x14ac:dyDescent="0.25">
      <c r="A51" s="597">
        <v>45</v>
      </c>
      <c r="B51" s="598"/>
      <c r="C51" s="599" t="str">
        <f t="shared" si="0"/>
        <v/>
      </c>
      <c r="D51" s="600"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601" t="str">
        <f>IF(51=51,IF($B51="","",AF51),"")</f>
        <v/>
      </c>
      <c r="F51" s="601" t="str">
        <f>IF(51=51,IF($B51="","",AI51),"")</f>
        <v/>
      </c>
      <c r="G51" s="601" t="str">
        <f>IF(51=51,IF($B51="","",AM51),"")</f>
        <v/>
      </c>
      <c r="H51" s="601" t="str">
        <f>IF(51=51,IF($B51="","",AZ51),"")</f>
        <v/>
      </c>
      <c r="I51" s="601" t="str">
        <f>IF(51=51,IF($B51="","",BB51),"")</f>
        <v/>
      </c>
      <c r="J51" s="601" t="str">
        <f>IF(51=51,IF($B51="","",BF51),"")</f>
        <v/>
      </c>
      <c r="K51" s="601" t="str">
        <f>IF(51=51,IF($B51="","",BM51),"")</f>
        <v/>
      </c>
      <c r="L51" s="601" t="str">
        <f>IF(51=51,IF($B51="","",BQ51),"")</f>
        <v/>
      </c>
      <c r="M51" s="601" t="str">
        <f>IF(51=51,IF($B51="","",BT51),"")</f>
        <v/>
      </c>
      <c r="N51" s="601" t="str">
        <f>IF(51=51,IF($B51="","",BW51),"")</f>
        <v/>
      </c>
      <c r="O51" s="601" t="str">
        <f>IF(51=51,IF($B51="","",BZ51),"")</f>
        <v/>
      </c>
      <c r="P51" s="601" t="str">
        <f>IF(51=51,IF($B51="","",CC51),"")</f>
        <v/>
      </c>
      <c r="Q51" s="601" t="str">
        <f>IF(51=51,IF($B51="","",CF51),"")</f>
        <v/>
      </c>
      <c r="R51" s="601" t="str">
        <f>IF(51=51,IF($B51="","",CL51),"")</f>
        <v/>
      </c>
      <c r="S51" s="602"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581" t="str">
        <f>IF(51=51,IF($B51="","",$B51),"")</f>
        <v/>
      </c>
      <c r="V51" s="581" t="str">
        <f>IF(51=51,LOWER(CLEAN(SUBSTITUTE(SUBSTITUTE(SUBSTITUTE(SUBSTITUTE($U51,CHAR(160)," ")," "," "),CHAR(10)," "),CHAR(13)," "))),"")</f>
        <v/>
      </c>
      <c r="W51" s="581" t="str">
        <f>IF(51=51,SUBSTITUTE(SUBSTITUTE(SUBSTITUTE(SUBSTITUTE(SUBSTITUTE(SUBSTITUTE(SUBSTITUTE(SUBSTITUTE(SUBSTITUTE(SUBSTITUTE(SUBSTITUTE(SUBSTITUTE($V51,"œ","oe"),"æ","ae"),"à","a"),"á","a"),"â","a"),"ä","a"),"ã","a"),"ç","c"),"è","e"),"é","e"),"ê","e"),"ë","e"),"")</f>
        <v/>
      </c>
      <c r="X51" s="581" t="str">
        <f>IF(51=51,SUBSTITUTE(SUBSTITUTE(SUBSTITUTE(SUBSTITUTE(SUBSTITUTE(SUBSTITUTE(SUBSTITUTE(SUBSTITUTE(SUBSTITUTE(SUBSTITUTE(SUBSTITUTE(SUBSTITUTE(SUBSTITUTE(SUBSTITUTE(SUBSTITUTE(SUBSTITUTE($W51,"ì","i"),"í","i"),"î","i"),"ï","i"),"ñ","n"),"ò","o"),"ó","o"),"ô","o"),"ö","o"),"õ","o"),"ù","u"),"ú","u"),"û","u"),"ü","u"),"ý","y"),"ÿ","y"),"")</f>
        <v/>
      </c>
      <c r="Y51" s="581" t="str">
        <f>IF(51=51,SUBSTITUTE(SUBSTITUTE(SUBSTITUTE(SUBSTITUTE(SUBSTITUTE(SUBSTITUTE(SUBSTITUTE(SUBSTITUTE(SUBSTITUTE(SUBSTITUTE(SUBSTITUTE(SUBSTITUTE(SUBSTITUTE(SUBSTITUTE($X51,"’"," "),"`"," "),"–"," "),"—"," "),"-"," "),"'"," "),"/"," "),"_"," "),","," "),"."," "),"("," "),")"," "),";"," "),":"," "),"")</f>
        <v/>
      </c>
      <c r="Z51" s="581" t="str">
        <f>IF(51=51,SUBSTITUTE(SUBSTITUTE(SUBSTITUTE(SUBSTITUTE(SUBSTITUTE(SUBSTITUTE(SUBSTITUTE(SUBSTITUTE(SUBSTITUTE(SUBSTITUTE(SUBSTITUTE(SUBSTITUTE(SUBSTITUTE(SUBSTITUTE(SUBSTITUTE($Y51,"!"," "),"?"," "),"+"," "),"*"," "),"&amp;"," "),"["," "),"]"," "),"{"," "),"}"," "),"%"," "),"="," "),"\"," "),"|"," "),"&lt;"," "),"&gt;"," "),"")</f>
        <v/>
      </c>
      <c r="AA51" s="581" t="str">
        <f>IF(51=51," "&amp;TRIM(SUBSTITUTE(SUBSTITUTE(SUBSTITUTE(SUBSTITUTE(SUBSTITUTE(SUBSTITUTE($Z51,CHAR(34)," "),"  "," "),"  "," "),"  "," "),"  "," "),"  "," "))&amp;" ","")</f>
        <v xml:space="preserve">  </v>
      </c>
      <c r="AB51" s="581" t="str">
        <f>IF(51=51,IF($U51="","",SUMPRODUCT(--ISNUMBER(SEARCH(" "&amp;$CR$2:$CR$101&amp;" ",$AD51)))),"")</f>
        <v/>
      </c>
      <c r="AC51" s="581" t="str">
        <f>IF(51=51,IF($U51="","",SUMPRODUCT(--ISNUMBER(SEARCH(" "&amp;$CR$102:$CR$151&amp;" ",$AD51)))),"")</f>
        <v/>
      </c>
      <c r="AD51" s="581"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1" s="581" t="str">
        <f>IF(51=51,IF($U51="","",SUMPRODUCT(--ISNUMBER(SEARCH(" "&amp;$CR$184:$CR$205&amp;" ",$AD51)))),"")</f>
        <v/>
      </c>
      <c r="AF51" s="581" t="str">
        <f>IF(51=51,IF($U51="","",IF(SUM(AB51:AC51)+SUMPRODUCT(--ISNUMBER(SEARCH(" "&amp;$CR$2418:$CR$2420&amp;" ",$AD51)))&gt;0,"X",IF(AE51&gt;0,"?",""))),"")</f>
        <v/>
      </c>
      <c r="AG51" s="581" t="str">
        <f>IF(51=51,IF($U51="","",SUMPRODUCT(--ISNUMBER(SEARCH(" "&amp;$CR$206:$CR$305&amp;" ",$AA51)))),"")</f>
        <v/>
      </c>
      <c r="AH51" s="581" t="str">
        <f>IF(51=51,IF($U51="","",SUMPRODUCT(--ISNUMBER(SEARCH(" "&amp;$CR$306:$CR$340&amp;" ",$AA51)))),"")</f>
        <v/>
      </c>
      <c r="AI51" s="581" t="str">
        <f>IF(51=51,IF($U51="","",IF((SUM(AG51:AH51))-(0)&gt;0,"X",IF((0)-(0)&gt;0,"?",""))),"")</f>
        <v/>
      </c>
      <c r="AJ51" s="581" t="str">
        <f>IF(51=51,IF($U51="","",SUMPRODUCT(--ISNUMBER(SEARCH(" "&amp;$CR$341:$CR$398&amp;" ",$AA51)))),"")</f>
        <v/>
      </c>
      <c r="AK51" s="581" t="str">
        <f>IF(51=51,IF($U51="","",SUMPRODUCT(--ISNUMBER(SEARCH(" "&amp;$CR$399:$CR$426&amp;" ",$AL51)))+SUMPRODUCT(--ISNUMBER(SEARCH(" "&amp;$CR$2440:$CR$2453&amp;" ",$AL51)))),"")</f>
        <v/>
      </c>
      <c r="AL51" s="581" t="str">
        <f>IF(51=51,IF($U51="","",SUBSTITUTE(SUBSTITUTE(SUBSTITUTE(SUBSTITUTE(SUBSTITUTE(SUBSTITUTE(SUBSTITUTE(SUBSTITUTE(SUBSTITUTE(SUBSTITUTE(SUBSTITUTE(SUBSTITUTE(SUBSTITUTE($AA51," "&amp;$CR$433&amp;" "," ")," "&amp;$CR$431&amp;" "," ")," "&amp;$CR$2438&amp;" "," ")," "&amp;$CR$2439&amp;" "," ")," "&amp;$CR$428&amp;" "," ")," "&amp;$CR$432&amp;" "," ")," "&amp;$CR$434&amp;" "," ")," "&amp;$CR$429&amp;" "," ")," "&amp;$CR$427&amp;" "," ")," "&amp;$CR$1367&amp;" "," ")," "&amp;$CR$435&amp;" "," ")," "&amp;$CR$1366&amp;" "," ")," "&amp;$CR$430&amp;" "," ")),"")</f>
        <v/>
      </c>
      <c r="AM51" s="581" t="str">
        <f>IF(51=51,IF($U51="","",IF(AJ51&gt;0,"X",IF(AK51&gt;0,"?",""))),"")</f>
        <v/>
      </c>
      <c r="AN51" s="581" t="str">
        <f>IF(51=51,IF($U51="","",SUMPRODUCT(--ISNUMBER(SEARCH(" "&amp;$CR$436:$CR$535&amp;" ",$AX51)))),"")</f>
        <v/>
      </c>
      <c r="AO51" s="581" t="str">
        <f>IF(51=51,IF($U51="","",SUMPRODUCT(--ISNUMBER(SEARCH(" "&amp;$CR$536:$CR$635&amp;" ",$AX51)))),"")</f>
        <v/>
      </c>
      <c r="AP51" s="581" t="str">
        <f>IF(51=51,IF($U51="","",SUMPRODUCT(--ISNUMBER(SEARCH(" "&amp;$CR$636:$CR$735&amp;" ",$AX51)))),"")</f>
        <v/>
      </c>
      <c r="AQ51" s="581" t="str">
        <f>IF(51=51,IF($U51="","",SUMPRODUCT(--ISNUMBER(SEARCH(" "&amp;$CR$736:$CR$835&amp;" ",$AX51)))),"")</f>
        <v/>
      </c>
      <c r="AR51" s="581" t="str">
        <f>IF(51=51,IF($U51="","",SUMPRODUCT(--ISNUMBER(SEARCH(" "&amp;$CR$836:$CR$935&amp;" ",$AX51)))),"")</f>
        <v/>
      </c>
      <c r="AS51" s="581" t="str">
        <f>IF(51=51,IF($U51="","",SUMPRODUCT(--ISNUMBER(SEARCH(" "&amp;$CR$936:$CR$1035&amp;" ",$AX51)))),"")</f>
        <v/>
      </c>
      <c r="AT51" s="581" t="str">
        <f>IF(51=51,IF($U51="","",SUMPRODUCT(--ISNUMBER(SEARCH(" "&amp;$CR$1036:$CR$1135&amp;" ",$AX51)))),"")</f>
        <v/>
      </c>
      <c r="AU51" s="581" t="str">
        <f>IF(51=51,IF($U51="","",SUMPRODUCT(--ISNUMBER(SEARCH(" "&amp;$CR$1136:$CR$1235&amp;" ",$AX51)))),"")</f>
        <v/>
      </c>
      <c r="AV51" s="581" t="str">
        <f>IF(51=51,IF($U51="","",SUMPRODUCT(--ISNUMBER(SEARCH(" "&amp;$CR$1236:$CR$1335&amp;" ",$AX51)))),"")</f>
        <v/>
      </c>
      <c r="AW51" s="581" t="str">
        <f>IF(51=51,IF($U51="","",SUMPRODUCT(--ISNUMBER(SEARCH(" "&amp;$CR$1336:$CR$1363&amp;" ",$AX51)))),"")</f>
        <v/>
      </c>
      <c r="AX51" s="581" t="str">
        <f>IF(51=51,IF($U51="","",SUBSTITUTE(SUBSTITUTE(SUBSTITUTE(SUBSTITUTE(SUBSTITUTE(SUBSTITUTE(SUBSTITUTE(SUBSTITUTE(SUBSTITUTE($AA51," "&amp;$CR$1365&amp;" "," ")," "&amp;$CR$1364&amp;" "," ")," "&amp;$CR$1370&amp;" "," ")," "&amp;$CR$1371&amp;" "," ")," "&amp;$CR$1367&amp;" "," ")," "&amp;$CR$1369&amp;" "," ")," "&amp;$CR$1366&amp;" "," ")," "&amp;$CR$1368&amp;" "," ")," "&amp;$CR$1372&amp;" "," ")),"")</f>
        <v/>
      </c>
      <c r="AY51" s="581" t="str">
        <f>IF(51=51,IF($U51="","",SUMPRODUCT(--ISNUMBER(SEARCH(" "&amp;$CR$1373:$CR$1383&amp;" ",$AX51)))),"")</f>
        <v/>
      </c>
      <c r="AZ51" s="581" t="str">
        <f>IF(51=51,IF($U51="","",IF(SUM(AN51:AW51)+SUMPRODUCT(--ISNUMBER(SEARCH(" "&amp;$CR$2421:$CR$2422&amp;" ",$AX51)))&gt;0,"X",IF(AY51&gt;0,"?",""))),"")</f>
        <v/>
      </c>
      <c r="BA51" s="581" t="str">
        <f>IF(51=51,IF($U51="","",SUMPRODUCT(--ISNUMBER(SEARCH(" "&amp;$CR$1384:$CR$1404&amp;" ",$AA51)))),"")</f>
        <v/>
      </c>
      <c r="BB51" s="581" t="str">
        <f>IF(51=51,IF($U51="","",IF((BA51)-(0)&gt;0,"X",IF((0)-(0)&gt;0,"?",""))),"")</f>
        <v/>
      </c>
      <c r="BC51" s="581" t="str">
        <f>IF(51=51,IF($U51="","",SUMPRODUCT(--ISNUMBER(SEARCH(" "&amp;$CR$1405:$CR$1442&amp;" ",$BD51)))),"")</f>
        <v/>
      </c>
      <c r="BD51" s="581" t="str">
        <f>IF(51=51,IF($U51="","",SUBSTITUTE(SUBSTITUTE($AA51," "&amp;$CR$1443&amp;" "," ")," "&amp;$CR$1444&amp;" "," ")),"")</f>
        <v/>
      </c>
      <c r="BE51" s="581" t="str">
        <f>IF(51=51,IF($U51="","",SUMPRODUCT(--ISNUMBER(SEARCH(" "&amp;$CR$1445:$CR$1455&amp;" ",$BD51)))),"")</f>
        <v/>
      </c>
      <c r="BF51" s="581" t="str">
        <f>IF(51=51,IF($U51="","",IF(BC51&gt;0,"X",IF(BE51&gt;0,"?",""))),"")</f>
        <v/>
      </c>
      <c r="BG51" s="581" t="str">
        <f>IF(51=51,IF($U51="","",SUMPRODUCT(--ISNUMBER(SEARCH(" "&amp;$CR$1456:$CR$1555&amp;" ",$BJ51)))),"")</f>
        <v/>
      </c>
      <c r="BH51" s="581" t="str">
        <f>IF(51=51,IF($U51="","",SUMPRODUCT(--ISNUMBER(SEARCH(" "&amp;$CR$1556:$CR$1655&amp;" ",$BJ51)))),"")</f>
        <v/>
      </c>
      <c r="BI51" s="581" t="str">
        <f>IF(51=51,IF($U51="","",SUMPRODUCT(--ISNUMBER(SEARCH(" "&amp;$CR$1656:$CR$1739&amp;" ",$BJ51)))),"")</f>
        <v/>
      </c>
      <c r="BJ51" s="581"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1" s="581" t="str">
        <f>IF(51=51,IF($U51="","",SUMPRODUCT(--ISNUMBER(SEARCH(" "&amp;$CR$1790:$CR$1869&amp;" ",$BL51)))+SUMPRODUCT(--ISNUMBER(SEARCH(" "&amp;$CR$2440:$CR$2453&amp;" ",$BL51)))),"")</f>
        <v/>
      </c>
      <c r="BL51" s="581"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c>
      <c r="BM51" s="581" t="str">
        <f>IF(51=51,IF($U51="","",IF(SUM(BG51:BI51)+SUMPRODUCT(--ISNUMBER(SEARCH(" "&amp;$CR$2423:$CR$2424&amp;" ",$BJ51)))&gt;0,"X",IF(BK51&gt;0,"?",""))),"")</f>
        <v/>
      </c>
      <c r="BN51" s="581" t="str">
        <f>IF(51=51,IF($U51="","",SUMPRODUCT(--ISNUMBER(SEARCH(" "&amp;$CR$1879:$CR$1936&amp;" ",$BO51)))),"")</f>
        <v/>
      </c>
      <c r="BO51" s="581"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1" s="581" t="str">
        <f>IF(51=51,IF($U51="","",SUMPRODUCT(--ISNUMBER(SEARCH(" "&amp;$CR$1960:$CR$1976&amp;" ",$BO51)))),"")</f>
        <v/>
      </c>
      <c r="BQ51" s="581" t="str">
        <f>IF(51=51,IF($U51="","",IF(BN51&gt;0,"X",IF(BP51&gt;0,"?",""))),"")</f>
        <v/>
      </c>
      <c r="BR51" s="581" t="str">
        <f>IF(51=51,IF($U51="","",SUMPRODUCT(--ISNUMBER(SEARCH(" "&amp;$CR$1977:$CR$1990&amp;" ",$AA51)))),"")</f>
        <v/>
      </c>
      <c r="BS51" s="581" t="str">
        <f>IF(51=51,IF($U51="","",SUMPRODUCT(--ISNUMBER(SEARCH(" "&amp;$CR$1991:$CR$2005&amp;" ",$AA51)))),"")</f>
        <v/>
      </c>
      <c r="BT51" s="581" t="str">
        <f>IF(51=51,IF($U51="","",IF((BR51)-(0)&gt;0,"X",IF((BS51)-(0)&gt;0,"?",""))),"")</f>
        <v/>
      </c>
      <c r="BU51" s="581" t="str">
        <f>IF(51=51,IF($U51="","",SUMPRODUCT(--ISNUMBER(SEARCH(" "&amp;$CR$2006:$CR$2023&amp;" ",$AA51)))),"")</f>
        <v/>
      </c>
      <c r="BV51" s="581" t="str">
        <f>IF(51=51,IF($U51="","",SUMPRODUCT(--ISNUMBER(SEARCH(" "&amp;$CR$2024:$CR$2038&amp;" ",$AA51)))),"")</f>
        <v/>
      </c>
      <c r="BW51" s="581" t="str">
        <f>IF(51=51,IF($U51="","",IF((BU51)-(0)&gt;0,"X",IF((BV51)-(0)&gt;0,"?",""))),"")</f>
        <v/>
      </c>
      <c r="BX51" s="581" t="str">
        <f>IF(51=51,IF($U51="","",SUMPRODUCT(--ISNUMBER(SEARCH(" "&amp;$CR$2039:$CR$2057&amp;" ",$AA51)))),"")</f>
        <v/>
      </c>
      <c r="BY51" s="581" t="str">
        <f>IF(51=51,IF($U51="","",SUMPRODUCT(--ISNUMBER(SEARCH(" "&amp;$CR$2058:$CR$2072&amp;" ",$AA51)))),"")</f>
        <v/>
      </c>
      <c r="BZ51" s="581" t="str">
        <f>IF(51=51,IF($U51="","",IF((BX51)-(0)&gt;0,"X",IF((BY51)-(0)&gt;0,"?",""))),"")</f>
        <v/>
      </c>
      <c r="CA51" s="581" t="str">
        <f>IF(51=51,IF($U51="","",SUMPRODUCT(--ISNUMBER(SEARCH(" "&amp;$CR$2073:$CR$2093&amp;" ",$AA51)))),"")</f>
        <v/>
      </c>
      <c r="CB51" s="581" t="str">
        <f>IF(51=51,IF($U51="","",SUMPRODUCT(--ISNUMBER(SEARCH(" "&amp;$CR$2094:$CR$2133&amp;" ",SUBSTITUTE(SUBSTITUTE($AA51," "&amp;$CR$1367&amp;" "," ")," "&amp;$CR$1366&amp;" "," "))))+--ISNUMBER(SEARCH("poiré",$V51))),"")</f>
        <v/>
      </c>
      <c r="CC51" s="581" t="str">
        <f>IF(51=51,IF($U51="","",IF(OR(CA51&gt;0,ISNUMBER(SEARCH(" vinaigre de vin ",$AA51)),ISNUMBER(SEARCH(" vinaigre au vin ",$AA51))),"X",IF(CB51&gt;0,"?",""))),"")</f>
        <v/>
      </c>
      <c r="CD51" s="581" t="str">
        <f>IF(51=51,IF($U51="","",SUMPRODUCT(--ISNUMBER(SEARCH(" "&amp;$CR$2134:$CR$2146&amp;" ",$AA51)))),"")</f>
        <v/>
      </c>
      <c r="CE51" s="581" t="str">
        <f>IF(51=51,IF($U51="","",SUMPRODUCT(--ISNUMBER(SEARCH(" "&amp;$CR$2147:$CR$2152&amp;" ",$AA51)))),"")</f>
        <v/>
      </c>
      <c r="CF51" s="581" t="str">
        <f>IF(51=51,IF($U51="","",IF((CD51)-(0)&gt;0,"X",IF((CE51)-(0)&gt;0,"?",""))),"")</f>
        <v/>
      </c>
      <c r="CG51" s="581" t="str">
        <f>IF(51=51,IF($U51="","",SUMPRODUCT(--ISNUMBER(SEARCH(" "&amp;$CR$2153:$CR$2252&amp;" ",$CJ51)))),"")</f>
        <v/>
      </c>
      <c r="CH51" s="581" t="str">
        <f>IF(51=51,IF($U51="","",SUMPRODUCT(--ISNUMBER(SEARCH(" "&amp;$CR$2253:$CR$2352&amp;" ",$CJ51)))),"")</f>
        <v/>
      </c>
      <c r="CI51" s="581" t="str">
        <f>IF(51=51,IF($U51="","",SUMPRODUCT(--ISNUMBER(SEARCH(" "&amp;$CR$2353:$CR$2395&amp;" ",$CJ51)))),"")</f>
        <v/>
      </c>
      <c r="CJ51" s="581"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c>
      <c r="CK51" s="581" t="str">
        <f>IF(51=51,IF($U51="","",SUMPRODUCT(--ISNUMBER(SEARCH(" "&amp;$CR$2412:$CR$2416&amp;" ",$CJ51)))),"")</f>
        <v/>
      </c>
      <c r="CL51" s="581" t="str">
        <f>IF(51=51,IF($U51="","",IF(SUM(CG51:CI51)&gt;0,"X",IF(CK51&gt;0,"?",""))),"")</f>
        <v/>
      </c>
      <c r="CM51" s="582"/>
      <c r="CN51" s="584" t="s">
        <v>2113</v>
      </c>
      <c r="CO51" s="584" t="s">
        <v>1887</v>
      </c>
      <c r="CP51" s="584" t="s">
        <v>1888</v>
      </c>
      <c r="CQ51" s="584" t="s">
        <v>2114</v>
      </c>
      <c r="CR51" s="584" t="s">
        <v>2115</v>
      </c>
      <c r="CS51" s="584" t="s">
        <v>1890</v>
      </c>
      <c r="CT51" s="584" t="s">
        <v>1891</v>
      </c>
      <c r="CU51" s="584" t="s">
        <v>1892</v>
      </c>
      <c r="CV51" s="585" t="s">
        <v>1893</v>
      </c>
    </row>
    <row r="52" spans="1:100" ht="21.95" customHeight="1" x14ac:dyDescent="0.25">
      <c r="A52" s="597">
        <v>46</v>
      </c>
      <c r="B52" s="598"/>
      <c r="C52" s="599" t="str">
        <f t="shared" si="0"/>
        <v/>
      </c>
      <c r="D52" s="600"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601" t="str">
        <f>IF(52=52,IF($B52="","",AF52),"")</f>
        <v/>
      </c>
      <c r="F52" s="601" t="str">
        <f>IF(52=52,IF($B52="","",AI52),"")</f>
        <v/>
      </c>
      <c r="G52" s="601" t="str">
        <f>IF(52=52,IF($B52="","",AM52),"")</f>
        <v/>
      </c>
      <c r="H52" s="601" t="str">
        <f>IF(52=52,IF($B52="","",AZ52),"")</f>
        <v/>
      </c>
      <c r="I52" s="601" t="str">
        <f>IF(52=52,IF($B52="","",BB52),"")</f>
        <v/>
      </c>
      <c r="J52" s="601" t="str">
        <f>IF(52=52,IF($B52="","",BF52),"")</f>
        <v/>
      </c>
      <c r="K52" s="601" t="str">
        <f>IF(52=52,IF($B52="","",BM52),"")</f>
        <v/>
      </c>
      <c r="L52" s="601" t="str">
        <f>IF(52=52,IF($B52="","",BQ52),"")</f>
        <v/>
      </c>
      <c r="M52" s="601" t="str">
        <f>IF(52=52,IF($B52="","",BT52),"")</f>
        <v/>
      </c>
      <c r="N52" s="601" t="str">
        <f>IF(52=52,IF($B52="","",BW52),"")</f>
        <v/>
      </c>
      <c r="O52" s="601" t="str">
        <f>IF(52=52,IF($B52="","",BZ52),"")</f>
        <v/>
      </c>
      <c r="P52" s="601" t="str">
        <f>IF(52=52,IF($B52="","",CC52),"")</f>
        <v/>
      </c>
      <c r="Q52" s="601" t="str">
        <f>IF(52=52,IF($B52="","",CF52),"")</f>
        <v/>
      </c>
      <c r="R52" s="601" t="str">
        <f>IF(52=52,IF($B52="","",CL52),"")</f>
        <v/>
      </c>
      <c r="S52" s="602"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581" t="str">
        <f>IF(52=52,IF($B52="","",$B52),"")</f>
        <v/>
      </c>
      <c r="V52" s="581" t="str">
        <f>IF(52=52,LOWER(CLEAN(SUBSTITUTE(SUBSTITUTE(SUBSTITUTE(SUBSTITUTE($U52,CHAR(160)," ")," "," "),CHAR(10)," "),CHAR(13)," "))),"")</f>
        <v/>
      </c>
      <c r="W52" s="581" t="str">
        <f>IF(52=52,SUBSTITUTE(SUBSTITUTE(SUBSTITUTE(SUBSTITUTE(SUBSTITUTE(SUBSTITUTE(SUBSTITUTE(SUBSTITUTE(SUBSTITUTE(SUBSTITUTE(SUBSTITUTE(SUBSTITUTE($V52,"œ","oe"),"æ","ae"),"à","a"),"á","a"),"â","a"),"ä","a"),"ã","a"),"ç","c"),"è","e"),"é","e"),"ê","e"),"ë","e"),"")</f>
        <v/>
      </c>
      <c r="X52" s="581" t="str">
        <f>IF(52=52,SUBSTITUTE(SUBSTITUTE(SUBSTITUTE(SUBSTITUTE(SUBSTITUTE(SUBSTITUTE(SUBSTITUTE(SUBSTITUTE(SUBSTITUTE(SUBSTITUTE(SUBSTITUTE(SUBSTITUTE(SUBSTITUTE(SUBSTITUTE(SUBSTITUTE(SUBSTITUTE($W52,"ì","i"),"í","i"),"î","i"),"ï","i"),"ñ","n"),"ò","o"),"ó","o"),"ô","o"),"ö","o"),"õ","o"),"ù","u"),"ú","u"),"û","u"),"ü","u"),"ý","y"),"ÿ","y"),"")</f>
        <v/>
      </c>
      <c r="Y52" s="581" t="str">
        <f>IF(52=52,SUBSTITUTE(SUBSTITUTE(SUBSTITUTE(SUBSTITUTE(SUBSTITUTE(SUBSTITUTE(SUBSTITUTE(SUBSTITUTE(SUBSTITUTE(SUBSTITUTE(SUBSTITUTE(SUBSTITUTE(SUBSTITUTE(SUBSTITUTE($X52,"’"," "),"`"," "),"–"," "),"—"," "),"-"," "),"'"," "),"/"," "),"_"," "),","," "),"."," "),"("," "),")"," "),";"," "),":"," "),"")</f>
        <v/>
      </c>
      <c r="Z52" s="581" t="str">
        <f>IF(52=52,SUBSTITUTE(SUBSTITUTE(SUBSTITUTE(SUBSTITUTE(SUBSTITUTE(SUBSTITUTE(SUBSTITUTE(SUBSTITUTE(SUBSTITUTE(SUBSTITUTE(SUBSTITUTE(SUBSTITUTE(SUBSTITUTE(SUBSTITUTE(SUBSTITUTE($Y52,"!"," "),"?"," "),"+"," "),"*"," "),"&amp;"," "),"["," "),"]"," "),"{"," "),"}"," "),"%"," "),"="," "),"\"," "),"|"," "),"&lt;"," "),"&gt;"," "),"")</f>
        <v/>
      </c>
      <c r="AA52" s="581" t="str">
        <f>IF(52=52," "&amp;TRIM(SUBSTITUTE(SUBSTITUTE(SUBSTITUTE(SUBSTITUTE(SUBSTITUTE(SUBSTITUTE($Z52,CHAR(34)," "),"  "," "),"  "," "),"  "," "),"  "," "),"  "," "))&amp;" ","")</f>
        <v xml:space="preserve">  </v>
      </c>
      <c r="AB52" s="581" t="str">
        <f>IF(52=52,IF($U52="","",SUMPRODUCT(--ISNUMBER(SEARCH(" "&amp;$CR$2:$CR$101&amp;" ",$AD52)))),"")</f>
        <v/>
      </c>
      <c r="AC52" s="581" t="str">
        <f>IF(52=52,IF($U52="","",SUMPRODUCT(--ISNUMBER(SEARCH(" "&amp;$CR$102:$CR$151&amp;" ",$AD52)))),"")</f>
        <v/>
      </c>
      <c r="AD52" s="581"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2" s="581" t="str">
        <f>IF(52=52,IF($U52="","",SUMPRODUCT(--ISNUMBER(SEARCH(" "&amp;$CR$184:$CR$205&amp;" ",$AD52)))),"")</f>
        <v/>
      </c>
      <c r="AF52" s="581" t="str">
        <f>IF(52=52,IF($U52="","",IF(SUM(AB52:AC52)+SUMPRODUCT(--ISNUMBER(SEARCH(" "&amp;$CR$2418:$CR$2420&amp;" ",$AD52)))&gt;0,"X",IF(AE52&gt;0,"?",""))),"")</f>
        <v/>
      </c>
      <c r="AG52" s="581" t="str">
        <f>IF(52=52,IF($U52="","",SUMPRODUCT(--ISNUMBER(SEARCH(" "&amp;$CR$206:$CR$305&amp;" ",$AA52)))),"")</f>
        <v/>
      </c>
      <c r="AH52" s="581" t="str">
        <f>IF(52=52,IF($U52="","",SUMPRODUCT(--ISNUMBER(SEARCH(" "&amp;$CR$306:$CR$340&amp;" ",$AA52)))),"")</f>
        <v/>
      </c>
      <c r="AI52" s="581" t="str">
        <f>IF(52=52,IF($U52="","",IF((SUM(AG52:AH52))-(0)&gt;0,"X",IF((0)-(0)&gt;0,"?",""))),"")</f>
        <v/>
      </c>
      <c r="AJ52" s="581" t="str">
        <f>IF(52=52,IF($U52="","",SUMPRODUCT(--ISNUMBER(SEARCH(" "&amp;$CR$341:$CR$398&amp;" ",$AA52)))),"")</f>
        <v/>
      </c>
      <c r="AK52" s="581" t="str">
        <f>IF(52=52,IF($U52="","",SUMPRODUCT(--ISNUMBER(SEARCH(" "&amp;$CR$399:$CR$426&amp;" ",$AL52)))+SUMPRODUCT(--ISNUMBER(SEARCH(" "&amp;$CR$2440:$CR$2453&amp;" ",$AL52)))),"")</f>
        <v/>
      </c>
      <c r="AL52" s="581" t="str">
        <f>IF(52=52,IF($U52="","",SUBSTITUTE(SUBSTITUTE(SUBSTITUTE(SUBSTITUTE(SUBSTITUTE(SUBSTITUTE(SUBSTITUTE(SUBSTITUTE(SUBSTITUTE(SUBSTITUTE(SUBSTITUTE(SUBSTITUTE(SUBSTITUTE($AA52," "&amp;$CR$433&amp;" "," ")," "&amp;$CR$431&amp;" "," ")," "&amp;$CR$2438&amp;" "," ")," "&amp;$CR$2439&amp;" "," ")," "&amp;$CR$428&amp;" "," ")," "&amp;$CR$432&amp;" "," ")," "&amp;$CR$434&amp;" "," ")," "&amp;$CR$429&amp;" "," ")," "&amp;$CR$427&amp;" "," ")," "&amp;$CR$1367&amp;" "," ")," "&amp;$CR$435&amp;" "," ")," "&amp;$CR$1366&amp;" "," ")," "&amp;$CR$430&amp;" "," ")),"")</f>
        <v/>
      </c>
      <c r="AM52" s="581" t="str">
        <f>IF(52=52,IF($U52="","",IF(AJ52&gt;0,"X",IF(AK52&gt;0,"?",""))),"")</f>
        <v/>
      </c>
      <c r="AN52" s="581" t="str">
        <f>IF(52=52,IF($U52="","",SUMPRODUCT(--ISNUMBER(SEARCH(" "&amp;$CR$436:$CR$535&amp;" ",$AX52)))),"")</f>
        <v/>
      </c>
      <c r="AO52" s="581" t="str">
        <f>IF(52=52,IF($U52="","",SUMPRODUCT(--ISNUMBER(SEARCH(" "&amp;$CR$536:$CR$635&amp;" ",$AX52)))),"")</f>
        <v/>
      </c>
      <c r="AP52" s="581" t="str">
        <f>IF(52=52,IF($U52="","",SUMPRODUCT(--ISNUMBER(SEARCH(" "&amp;$CR$636:$CR$735&amp;" ",$AX52)))),"")</f>
        <v/>
      </c>
      <c r="AQ52" s="581" t="str">
        <f>IF(52=52,IF($U52="","",SUMPRODUCT(--ISNUMBER(SEARCH(" "&amp;$CR$736:$CR$835&amp;" ",$AX52)))),"")</f>
        <v/>
      </c>
      <c r="AR52" s="581" t="str">
        <f>IF(52=52,IF($U52="","",SUMPRODUCT(--ISNUMBER(SEARCH(" "&amp;$CR$836:$CR$935&amp;" ",$AX52)))),"")</f>
        <v/>
      </c>
      <c r="AS52" s="581" t="str">
        <f>IF(52=52,IF($U52="","",SUMPRODUCT(--ISNUMBER(SEARCH(" "&amp;$CR$936:$CR$1035&amp;" ",$AX52)))),"")</f>
        <v/>
      </c>
      <c r="AT52" s="581" t="str">
        <f>IF(52=52,IF($U52="","",SUMPRODUCT(--ISNUMBER(SEARCH(" "&amp;$CR$1036:$CR$1135&amp;" ",$AX52)))),"")</f>
        <v/>
      </c>
      <c r="AU52" s="581" t="str">
        <f>IF(52=52,IF($U52="","",SUMPRODUCT(--ISNUMBER(SEARCH(" "&amp;$CR$1136:$CR$1235&amp;" ",$AX52)))),"")</f>
        <v/>
      </c>
      <c r="AV52" s="581" t="str">
        <f>IF(52=52,IF($U52="","",SUMPRODUCT(--ISNUMBER(SEARCH(" "&amp;$CR$1236:$CR$1335&amp;" ",$AX52)))),"")</f>
        <v/>
      </c>
      <c r="AW52" s="581" t="str">
        <f>IF(52=52,IF($U52="","",SUMPRODUCT(--ISNUMBER(SEARCH(" "&amp;$CR$1336:$CR$1363&amp;" ",$AX52)))),"")</f>
        <v/>
      </c>
      <c r="AX52" s="581" t="str">
        <f>IF(52=52,IF($U52="","",SUBSTITUTE(SUBSTITUTE(SUBSTITUTE(SUBSTITUTE(SUBSTITUTE(SUBSTITUTE(SUBSTITUTE(SUBSTITUTE(SUBSTITUTE($AA52," "&amp;$CR$1365&amp;" "," ")," "&amp;$CR$1364&amp;" "," ")," "&amp;$CR$1370&amp;" "," ")," "&amp;$CR$1371&amp;" "," ")," "&amp;$CR$1367&amp;" "," ")," "&amp;$CR$1369&amp;" "," ")," "&amp;$CR$1366&amp;" "," ")," "&amp;$CR$1368&amp;" "," ")," "&amp;$CR$1372&amp;" "," ")),"")</f>
        <v/>
      </c>
      <c r="AY52" s="581" t="str">
        <f>IF(52=52,IF($U52="","",SUMPRODUCT(--ISNUMBER(SEARCH(" "&amp;$CR$1373:$CR$1383&amp;" ",$AX52)))),"")</f>
        <v/>
      </c>
      <c r="AZ52" s="581" t="str">
        <f>IF(52=52,IF($U52="","",IF(SUM(AN52:AW52)+SUMPRODUCT(--ISNUMBER(SEARCH(" "&amp;$CR$2421:$CR$2422&amp;" ",$AX52)))&gt;0,"X",IF(AY52&gt;0,"?",""))),"")</f>
        <v/>
      </c>
      <c r="BA52" s="581" t="str">
        <f>IF(52=52,IF($U52="","",SUMPRODUCT(--ISNUMBER(SEARCH(" "&amp;$CR$1384:$CR$1404&amp;" ",$AA52)))),"")</f>
        <v/>
      </c>
      <c r="BB52" s="581" t="str">
        <f>IF(52=52,IF($U52="","",IF((BA52)-(0)&gt;0,"X",IF((0)-(0)&gt;0,"?",""))),"")</f>
        <v/>
      </c>
      <c r="BC52" s="581" t="str">
        <f>IF(52=52,IF($U52="","",SUMPRODUCT(--ISNUMBER(SEARCH(" "&amp;$CR$1405:$CR$1442&amp;" ",$BD52)))),"")</f>
        <v/>
      </c>
      <c r="BD52" s="581" t="str">
        <f>IF(52=52,IF($U52="","",SUBSTITUTE(SUBSTITUTE($AA52," "&amp;$CR$1443&amp;" "," ")," "&amp;$CR$1444&amp;" "," ")),"")</f>
        <v/>
      </c>
      <c r="BE52" s="581" t="str">
        <f>IF(52=52,IF($U52="","",SUMPRODUCT(--ISNUMBER(SEARCH(" "&amp;$CR$1445:$CR$1455&amp;" ",$BD52)))),"")</f>
        <v/>
      </c>
      <c r="BF52" s="581" t="str">
        <f>IF(52=52,IF($U52="","",IF(BC52&gt;0,"X",IF(BE52&gt;0,"?",""))),"")</f>
        <v/>
      </c>
      <c r="BG52" s="581" t="str">
        <f>IF(52=52,IF($U52="","",SUMPRODUCT(--ISNUMBER(SEARCH(" "&amp;$CR$1456:$CR$1555&amp;" ",$BJ52)))),"")</f>
        <v/>
      </c>
      <c r="BH52" s="581" t="str">
        <f>IF(52=52,IF($U52="","",SUMPRODUCT(--ISNUMBER(SEARCH(" "&amp;$CR$1556:$CR$1655&amp;" ",$BJ52)))),"")</f>
        <v/>
      </c>
      <c r="BI52" s="581" t="str">
        <f>IF(52=52,IF($U52="","",SUMPRODUCT(--ISNUMBER(SEARCH(" "&amp;$CR$1656:$CR$1739&amp;" ",$BJ52)))),"")</f>
        <v/>
      </c>
      <c r="BJ52" s="581"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2" s="581" t="str">
        <f>IF(52=52,IF($U52="","",SUMPRODUCT(--ISNUMBER(SEARCH(" "&amp;$CR$1790:$CR$1869&amp;" ",$BL52)))+SUMPRODUCT(--ISNUMBER(SEARCH(" "&amp;$CR$2440:$CR$2453&amp;" ",$BL52)))),"")</f>
        <v/>
      </c>
      <c r="BL52" s="581"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c>
      <c r="BM52" s="581" t="str">
        <f>IF(52=52,IF($U52="","",IF(SUM(BG52:BI52)+SUMPRODUCT(--ISNUMBER(SEARCH(" "&amp;$CR$2423:$CR$2424&amp;" ",$BJ52)))&gt;0,"X",IF(BK52&gt;0,"?",""))),"")</f>
        <v/>
      </c>
      <c r="BN52" s="581" t="str">
        <f>IF(52=52,IF($U52="","",SUMPRODUCT(--ISNUMBER(SEARCH(" "&amp;$CR$1879:$CR$1936&amp;" ",$BO52)))),"")</f>
        <v/>
      </c>
      <c r="BO52" s="581"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2" s="581" t="str">
        <f>IF(52=52,IF($U52="","",SUMPRODUCT(--ISNUMBER(SEARCH(" "&amp;$CR$1960:$CR$1976&amp;" ",$BO52)))),"")</f>
        <v/>
      </c>
      <c r="BQ52" s="581" t="str">
        <f>IF(52=52,IF($U52="","",IF(BN52&gt;0,"X",IF(BP52&gt;0,"?",""))),"")</f>
        <v/>
      </c>
      <c r="BR52" s="581" t="str">
        <f>IF(52=52,IF($U52="","",SUMPRODUCT(--ISNUMBER(SEARCH(" "&amp;$CR$1977:$CR$1990&amp;" ",$AA52)))),"")</f>
        <v/>
      </c>
      <c r="BS52" s="581" t="str">
        <f>IF(52=52,IF($U52="","",SUMPRODUCT(--ISNUMBER(SEARCH(" "&amp;$CR$1991:$CR$2005&amp;" ",$AA52)))),"")</f>
        <v/>
      </c>
      <c r="BT52" s="581" t="str">
        <f>IF(52=52,IF($U52="","",IF((BR52)-(0)&gt;0,"X",IF((BS52)-(0)&gt;0,"?",""))),"")</f>
        <v/>
      </c>
      <c r="BU52" s="581" t="str">
        <f>IF(52=52,IF($U52="","",SUMPRODUCT(--ISNUMBER(SEARCH(" "&amp;$CR$2006:$CR$2023&amp;" ",$AA52)))),"")</f>
        <v/>
      </c>
      <c r="BV52" s="581" t="str">
        <f>IF(52=52,IF($U52="","",SUMPRODUCT(--ISNUMBER(SEARCH(" "&amp;$CR$2024:$CR$2038&amp;" ",$AA52)))),"")</f>
        <v/>
      </c>
      <c r="BW52" s="581" t="str">
        <f>IF(52=52,IF($U52="","",IF((BU52)-(0)&gt;0,"X",IF((BV52)-(0)&gt;0,"?",""))),"")</f>
        <v/>
      </c>
      <c r="BX52" s="581" t="str">
        <f>IF(52=52,IF($U52="","",SUMPRODUCT(--ISNUMBER(SEARCH(" "&amp;$CR$2039:$CR$2057&amp;" ",$AA52)))),"")</f>
        <v/>
      </c>
      <c r="BY52" s="581" t="str">
        <f>IF(52=52,IF($U52="","",SUMPRODUCT(--ISNUMBER(SEARCH(" "&amp;$CR$2058:$CR$2072&amp;" ",$AA52)))),"")</f>
        <v/>
      </c>
      <c r="BZ52" s="581" t="str">
        <f>IF(52=52,IF($U52="","",IF((BX52)-(0)&gt;0,"X",IF((BY52)-(0)&gt;0,"?",""))),"")</f>
        <v/>
      </c>
      <c r="CA52" s="581" t="str">
        <f>IF(52=52,IF($U52="","",SUMPRODUCT(--ISNUMBER(SEARCH(" "&amp;$CR$2073:$CR$2093&amp;" ",$AA52)))),"")</f>
        <v/>
      </c>
      <c r="CB52" s="581" t="str">
        <f>IF(52=52,IF($U52="","",SUMPRODUCT(--ISNUMBER(SEARCH(" "&amp;$CR$2094:$CR$2133&amp;" ",SUBSTITUTE(SUBSTITUTE($AA52," "&amp;$CR$1367&amp;" "," ")," "&amp;$CR$1366&amp;" "," "))))+--ISNUMBER(SEARCH("poiré",$V52))),"")</f>
        <v/>
      </c>
      <c r="CC52" s="581" t="str">
        <f>IF(52=52,IF($U52="","",IF(OR(CA52&gt;0,ISNUMBER(SEARCH(" vinaigre de vin ",$AA52)),ISNUMBER(SEARCH(" vinaigre au vin ",$AA52))),"X",IF(CB52&gt;0,"?",""))),"")</f>
        <v/>
      </c>
      <c r="CD52" s="581" t="str">
        <f>IF(52=52,IF($U52="","",SUMPRODUCT(--ISNUMBER(SEARCH(" "&amp;$CR$2134:$CR$2146&amp;" ",$AA52)))),"")</f>
        <v/>
      </c>
      <c r="CE52" s="581" t="str">
        <f>IF(52=52,IF($U52="","",SUMPRODUCT(--ISNUMBER(SEARCH(" "&amp;$CR$2147:$CR$2152&amp;" ",$AA52)))),"")</f>
        <v/>
      </c>
      <c r="CF52" s="581" t="str">
        <f>IF(52=52,IF($U52="","",IF((CD52)-(0)&gt;0,"X",IF((CE52)-(0)&gt;0,"?",""))),"")</f>
        <v/>
      </c>
      <c r="CG52" s="581" t="str">
        <f>IF(52=52,IF($U52="","",SUMPRODUCT(--ISNUMBER(SEARCH(" "&amp;$CR$2153:$CR$2252&amp;" ",$CJ52)))),"")</f>
        <v/>
      </c>
      <c r="CH52" s="581" t="str">
        <f>IF(52=52,IF($U52="","",SUMPRODUCT(--ISNUMBER(SEARCH(" "&amp;$CR$2253:$CR$2352&amp;" ",$CJ52)))),"")</f>
        <v/>
      </c>
      <c r="CI52" s="581" t="str">
        <f>IF(52=52,IF($U52="","",SUMPRODUCT(--ISNUMBER(SEARCH(" "&amp;$CR$2353:$CR$2395&amp;" ",$CJ52)))),"")</f>
        <v/>
      </c>
      <c r="CJ52" s="581"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c>
      <c r="CK52" s="581" t="str">
        <f>IF(52=52,IF($U52="","",SUMPRODUCT(--ISNUMBER(SEARCH(" "&amp;$CR$2412:$CR$2416&amp;" ",$CJ52)))),"")</f>
        <v/>
      </c>
      <c r="CL52" s="581" t="str">
        <f>IF(52=52,IF($U52="","",IF(SUM(CG52:CI52)&gt;0,"X",IF(CK52&gt;0,"?",""))),"")</f>
        <v/>
      </c>
      <c r="CM52" s="582"/>
      <c r="CN52" s="584" t="s">
        <v>2116</v>
      </c>
      <c r="CO52" s="584" t="s">
        <v>1887</v>
      </c>
      <c r="CP52" s="584" t="s">
        <v>1888</v>
      </c>
      <c r="CQ52" s="584" t="s">
        <v>2117</v>
      </c>
      <c r="CR52" s="584" t="s">
        <v>2117</v>
      </c>
      <c r="CS52" s="584" t="s">
        <v>1890</v>
      </c>
      <c r="CT52" s="584" t="s">
        <v>1891</v>
      </c>
      <c r="CU52" s="584" t="s">
        <v>1892</v>
      </c>
      <c r="CV52" s="585" t="s">
        <v>1893</v>
      </c>
    </row>
    <row r="53" spans="1:100" ht="21.95" customHeight="1" x14ac:dyDescent="0.25">
      <c r="A53" s="597">
        <v>47</v>
      </c>
      <c r="B53" s="598"/>
      <c r="C53" s="599" t="str">
        <f t="shared" si="0"/>
        <v/>
      </c>
      <c r="D53" s="600"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601" t="str">
        <f>IF(53=53,IF($B53="","",AF53),"")</f>
        <v/>
      </c>
      <c r="F53" s="601" t="str">
        <f>IF(53=53,IF($B53="","",AI53),"")</f>
        <v/>
      </c>
      <c r="G53" s="601" t="str">
        <f>IF(53=53,IF($B53="","",AM53),"")</f>
        <v/>
      </c>
      <c r="H53" s="601" t="str">
        <f>IF(53=53,IF($B53="","",AZ53),"")</f>
        <v/>
      </c>
      <c r="I53" s="601" t="str">
        <f>IF(53=53,IF($B53="","",BB53),"")</f>
        <v/>
      </c>
      <c r="J53" s="601" t="str">
        <f>IF(53=53,IF($B53="","",BF53),"")</f>
        <v/>
      </c>
      <c r="K53" s="601" t="str">
        <f>IF(53=53,IF($B53="","",BM53),"")</f>
        <v/>
      </c>
      <c r="L53" s="601" t="str">
        <f>IF(53=53,IF($B53="","",BQ53),"")</f>
        <v/>
      </c>
      <c r="M53" s="601" t="str">
        <f>IF(53=53,IF($B53="","",BT53),"")</f>
        <v/>
      </c>
      <c r="N53" s="601" t="str">
        <f>IF(53=53,IF($B53="","",BW53),"")</f>
        <v/>
      </c>
      <c r="O53" s="601" t="str">
        <f>IF(53=53,IF($B53="","",BZ53),"")</f>
        <v/>
      </c>
      <c r="P53" s="601" t="str">
        <f>IF(53=53,IF($B53="","",CC53),"")</f>
        <v/>
      </c>
      <c r="Q53" s="601" t="str">
        <f>IF(53=53,IF($B53="","",CF53),"")</f>
        <v/>
      </c>
      <c r="R53" s="601" t="str">
        <f>IF(53=53,IF($B53="","",CL53),"")</f>
        <v/>
      </c>
      <c r="S53" s="602"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581" t="str">
        <f>IF(53=53,IF($B53="","",$B53),"")</f>
        <v/>
      </c>
      <c r="V53" s="581" t="str">
        <f>IF(53=53,LOWER(CLEAN(SUBSTITUTE(SUBSTITUTE(SUBSTITUTE(SUBSTITUTE($U53,CHAR(160)," ")," "," "),CHAR(10)," "),CHAR(13)," "))),"")</f>
        <v/>
      </c>
      <c r="W53" s="581" t="str">
        <f>IF(53=53,SUBSTITUTE(SUBSTITUTE(SUBSTITUTE(SUBSTITUTE(SUBSTITUTE(SUBSTITUTE(SUBSTITUTE(SUBSTITUTE(SUBSTITUTE(SUBSTITUTE(SUBSTITUTE(SUBSTITUTE($V53,"œ","oe"),"æ","ae"),"à","a"),"á","a"),"â","a"),"ä","a"),"ã","a"),"ç","c"),"è","e"),"é","e"),"ê","e"),"ë","e"),"")</f>
        <v/>
      </c>
      <c r="X53" s="581" t="str">
        <f>IF(53=53,SUBSTITUTE(SUBSTITUTE(SUBSTITUTE(SUBSTITUTE(SUBSTITUTE(SUBSTITUTE(SUBSTITUTE(SUBSTITUTE(SUBSTITUTE(SUBSTITUTE(SUBSTITUTE(SUBSTITUTE(SUBSTITUTE(SUBSTITUTE(SUBSTITUTE(SUBSTITUTE($W53,"ì","i"),"í","i"),"î","i"),"ï","i"),"ñ","n"),"ò","o"),"ó","o"),"ô","o"),"ö","o"),"õ","o"),"ù","u"),"ú","u"),"û","u"),"ü","u"),"ý","y"),"ÿ","y"),"")</f>
        <v/>
      </c>
      <c r="Y53" s="581" t="str">
        <f>IF(53=53,SUBSTITUTE(SUBSTITUTE(SUBSTITUTE(SUBSTITUTE(SUBSTITUTE(SUBSTITUTE(SUBSTITUTE(SUBSTITUTE(SUBSTITUTE(SUBSTITUTE(SUBSTITUTE(SUBSTITUTE(SUBSTITUTE(SUBSTITUTE($X53,"’"," "),"`"," "),"–"," "),"—"," "),"-"," "),"'"," "),"/"," "),"_"," "),","," "),"."," "),"("," "),")"," "),";"," "),":"," "),"")</f>
        <v/>
      </c>
      <c r="Z53" s="581" t="str">
        <f>IF(53=53,SUBSTITUTE(SUBSTITUTE(SUBSTITUTE(SUBSTITUTE(SUBSTITUTE(SUBSTITUTE(SUBSTITUTE(SUBSTITUTE(SUBSTITUTE(SUBSTITUTE(SUBSTITUTE(SUBSTITUTE(SUBSTITUTE(SUBSTITUTE(SUBSTITUTE($Y53,"!"," "),"?"," "),"+"," "),"*"," "),"&amp;"," "),"["," "),"]"," "),"{"," "),"}"," "),"%"," "),"="," "),"\"," "),"|"," "),"&lt;"," "),"&gt;"," "),"")</f>
        <v/>
      </c>
      <c r="AA53" s="581" t="str">
        <f>IF(53=53," "&amp;TRIM(SUBSTITUTE(SUBSTITUTE(SUBSTITUTE(SUBSTITUTE(SUBSTITUTE(SUBSTITUTE($Z53,CHAR(34)," "),"  "," "),"  "," "),"  "," "),"  "," "),"  "," "))&amp;" ","")</f>
        <v xml:space="preserve">  </v>
      </c>
      <c r="AB53" s="581" t="str">
        <f>IF(53=53,IF($U53="","",SUMPRODUCT(--ISNUMBER(SEARCH(" "&amp;$CR$2:$CR$101&amp;" ",$AD53)))),"")</f>
        <v/>
      </c>
      <c r="AC53" s="581" t="str">
        <f>IF(53=53,IF($U53="","",SUMPRODUCT(--ISNUMBER(SEARCH(" "&amp;$CR$102:$CR$151&amp;" ",$AD53)))),"")</f>
        <v/>
      </c>
      <c r="AD53" s="581"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3" s="581" t="str">
        <f>IF(53=53,IF($U53="","",SUMPRODUCT(--ISNUMBER(SEARCH(" "&amp;$CR$184:$CR$205&amp;" ",$AD53)))),"")</f>
        <v/>
      </c>
      <c r="AF53" s="581" t="str">
        <f>IF(53=53,IF($U53="","",IF(SUM(AB53:AC53)+SUMPRODUCT(--ISNUMBER(SEARCH(" "&amp;$CR$2418:$CR$2420&amp;" ",$AD53)))&gt;0,"X",IF(AE53&gt;0,"?",""))),"")</f>
        <v/>
      </c>
      <c r="AG53" s="581" t="str">
        <f>IF(53=53,IF($U53="","",SUMPRODUCT(--ISNUMBER(SEARCH(" "&amp;$CR$206:$CR$305&amp;" ",$AA53)))),"")</f>
        <v/>
      </c>
      <c r="AH53" s="581" t="str">
        <f>IF(53=53,IF($U53="","",SUMPRODUCT(--ISNUMBER(SEARCH(" "&amp;$CR$306:$CR$340&amp;" ",$AA53)))),"")</f>
        <v/>
      </c>
      <c r="AI53" s="581" t="str">
        <f>IF(53=53,IF($U53="","",IF((SUM(AG53:AH53))-(0)&gt;0,"X",IF((0)-(0)&gt;0,"?",""))),"")</f>
        <v/>
      </c>
      <c r="AJ53" s="581" t="str">
        <f>IF(53=53,IF($U53="","",SUMPRODUCT(--ISNUMBER(SEARCH(" "&amp;$CR$341:$CR$398&amp;" ",$AA53)))),"")</f>
        <v/>
      </c>
      <c r="AK53" s="581" t="str">
        <f>IF(53=53,IF($U53="","",SUMPRODUCT(--ISNUMBER(SEARCH(" "&amp;$CR$399:$CR$426&amp;" ",$AL53)))+SUMPRODUCT(--ISNUMBER(SEARCH(" "&amp;$CR$2440:$CR$2453&amp;" ",$AL53)))),"")</f>
        <v/>
      </c>
      <c r="AL53" s="581" t="str">
        <f>IF(53=53,IF($U53="","",SUBSTITUTE(SUBSTITUTE(SUBSTITUTE(SUBSTITUTE(SUBSTITUTE(SUBSTITUTE(SUBSTITUTE(SUBSTITUTE(SUBSTITUTE(SUBSTITUTE(SUBSTITUTE(SUBSTITUTE(SUBSTITUTE($AA53," "&amp;$CR$433&amp;" "," ")," "&amp;$CR$431&amp;" "," ")," "&amp;$CR$2438&amp;" "," ")," "&amp;$CR$2439&amp;" "," ")," "&amp;$CR$428&amp;" "," ")," "&amp;$CR$432&amp;" "," ")," "&amp;$CR$434&amp;" "," ")," "&amp;$CR$429&amp;" "," ")," "&amp;$CR$427&amp;" "," ")," "&amp;$CR$1367&amp;" "," ")," "&amp;$CR$435&amp;" "," ")," "&amp;$CR$1366&amp;" "," ")," "&amp;$CR$430&amp;" "," ")),"")</f>
        <v/>
      </c>
      <c r="AM53" s="581" t="str">
        <f>IF(53=53,IF($U53="","",IF(AJ53&gt;0,"X",IF(AK53&gt;0,"?",""))),"")</f>
        <v/>
      </c>
      <c r="AN53" s="581" t="str">
        <f>IF(53=53,IF($U53="","",SUMPRODUCT(--ISNUMBER(SEARCH(" "&amp;$CR$436:$CR$535&amp;" ",$AX53)))),"")</f>
        <v/>
      </c>
      <c r="AO53" s="581" t="str">
        <f>IF(53=53,IF($U53="","",SUMPRODUCT(--ISNUMBER(SEARCH(" "&amp;$CR$536:$CR$635&amp;" ",$AX53)))),"")</f>
        <v/>
      </c>
      <c r="AP53" s="581" t="str">
        <f>IF(53=53,IF($U53="","",SUMPRODUCT(--ISNUMBER(SEARCH(" "&amp;$CR$636:$CR$735&amp;" ",$AX53)))),"")</f>
        <v/>
      </c>
      <c r="AQ53" s="581" t="str">
        <f>IF(53=53,IF($U53="","",SUMPRODUCT(--ISNUMBER(SEARCH(" "&amp;$CR$736:$CR$835&amp;" ",$AX53)))),"")</f>
        <v/>
      </c>
      <c r="AR53" s="581" t="str">
        <f>IF(53=53,IF($U53="","",SUMPRODUCT(--ISNUMBER(SEARCH(" "&amp;$CR$836:$CR$935&amp;" ",$AX53)))),"")</f>
        <v/>
      </c>
      <c r="AS53" s="581" t="str">
        <f>IF(53=53,IF($U53="","",SUMPRODUCT(--ISNUMBER(SEARCH(" "&amp;$CR$936:$CR$1035&amp;" ",$AX53)))),"")</f>
        <v/>
      </c>
      <c r="AT53" s="581" t="str">
        <f>IF(53=53,IF($U53="","",SUMPRODUCT(--ISNUMBER(SEARCH(" "&amp;$CR$1036:$CR$1135&amp;" ",$AX53)))),"")</f>
        <v/>
      </c>
      <c r="AU53" s="581" t="str">
        <f>IF(53=53,IF($U53="","",SUMPRODUCT(--ISNUMBER(SEARCH(" "&amp;$CR$1136:$CR$1235&amp;" ",$AX53)))),"")</f>
        <v/>
      </c>
      <c r="AV53" s="581" t="str">
        <f>IF(53=53,IF($U53="","",SUMPRODUCT(--ISNUMBER(SEARCH(" "&amp;$CR$1236:$CR$1335&amp;" ",$AX53)))),"")</f>
        <v/>
      </c>
      <c r="AW53" s="581" t="str">
        <f>IF(53=53,IF($U53="","",SUMPRODUCT(--ISNUMBER(SEARCH(" "&amp;$CR$1336:$CR$1363&amp;" ",$AX53)))),"")</f>
        <v/>
      </c>
      <c r="AX53" s="581" t="str">
        <f>IF(53=53,IF($U53="","",SUBSTITUTE(SUBSTITUTE(SUBSTITUTE(SUBSTITUTE(SUBSTITUTE(SUBSTITUTE(SUBSTITUTE(SUBSTITUTE(SUBSTITUTE($AA53," "&amp;$CR$1365&amp;" "," ")," "&amp;$CR$1364&amp;" "," ")," "&amp;$CR$1370&amp;" "," ")," "&amp;$CR$1371&amp;" "," ")," "&amp;$CR$1367&amp;" "," ")," "&amp;$CR$1369&amp;" "," ")," "&amp;$CR$1366&amp;" "," ")," "&amp;$CR$1368&amp;" "," ")," "&amp;$CR$1372&amp;" "," ")),"")</f>
        <v/>
      </c>
      <c r="AY53" s="581" t="str">
        <f>IF(53=53,IF($U53="","",SUMPRODUCT(--ISNUMBER(SEARCH(" "&amp;$CR$1373:$CR$1383&amp;" ",$AX53)))),"")</f>
        <v/>
      </c>
      <c r="AZ53" s="581" t="str">
        <f>IF(53=53,IF($U53="","",IF(SUM(AN53:AW53)+SUMPRODUCT(--ISNUMBER(SEARCH(" "&amp;$CR$2421:$CR$2422&amp;" ",$AX53)))&gt;0,"X",IF(AY53&gt;0,"?",""))),"")</f>
        <v/>
      </c>
      <c r="BA53" s="581" t="str">
        <f>IF(53=53,IF($U53="","",SUMPRODUCT(--ISNUMBER(SEARCH(" "&amp;$CR$1384:$CR$1404&amp;" ",$AA53)))),"")</f>
        <v/>
      </c>
      <c r="BB53" s="581" t="str">
        <f>IF(53=53,IF($U53="","",IF((BA53)-(0)&gt;0,"X",IF((0)-(0)&gt;0,"?",""))),"")</f>
        <v/>
      </c>
      <c r="BC53" s="581" t="str">
        <f>IF(53=53,IF($U53="","",SUMPRODUCT(--ISNUMBER(SEARCH(" "&amp;$CR$1405:$CR$1442&amp;" ",$BD53)))),"")</f>
        <v/>
      </c>
      <c r="BD53" s="581" t="str">
        <f>IF(53=53,IF($U53="","",SUBSTITUTE(SUBSTITUTE($AA53," "&amp;$CR$1443&amp;" "," ")," "&amp;$CR$1444&amp;" "," ")),"")</f>
        <v/>
      </c>
      <c r="BE53" s="581" t="str">
        <f>IF(53=53,IF($U53="","",SUMPRODUCT(--ISNUMBER(SEARCH(" "&amp;$CR$1445:$CR$1455&amp;" ",$BD53)))),"")</f>
        <v/>
      </c>
      <c r="BF53" s="581" t="str">
        <f>IF(53=53,IF($U53="","",IF(BC53&gt;0,"X",IF(BE53&gt;0,"?",""))),"")</f>
        <v/>
      </c>
      <c r="BG53" s="581" t="str">
        <f>IF(53=53,IF($U53="","",SUMPRODUCT(--ISNUMBER(SEARCH(" "&amp;$CR$1456:$CR$1555&amp;" ",$BJ53)))),"")</f>
        <v/>
      </c>
      <c r="BH53" s="581" t="str">
        <f>IF(53=53,IF($U53="","",SUMPRODUCT(--ISNUMBER(SEARCH(" "&amp;$CR$1556:$CR$1655&amp;" ",$BJ53)))),"")</f>
        <v/>
      </c>
      <c r="BI53" s="581" t="str">
        <f>IF(53=53,IF($U53="","",SUMPRODUCT(--ISNUMBER(SEARCH(" "&amp;$CR$1656:$CR$1739&amp;" ",$BJ53)))),"")</f>
        <v/>
      </c>
      <c r="BJ53" s="581"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3" s="581" t="str">
        <f>IF(53=53,IF($U53="","",SUMPRODUCT(--ISNUMBER(SEARCH(" "&amp;$CR$1790:$CR$1869&amp;" ",$BL53)))+SUMPRODUCT(--ISNUMBER(SEARCH(" "&amp;$CR$2440:$CR$2453&amp;" ",$BL53)))),"")</f>
        <v/>
      </c>
      <c r="BL53" s="581"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c>
      <c r="BM53" s="581" t="str">
        <f>IF(53=53,IF($U53="","",IF(SUM(BG53:BI53)+SUMPRODUCT(--ISNUMBER(SEARCH(" "&amp;$CR$2423:$CR$2424&amp;" ",$BJ53)))&gt;0,"X",IF(BK53&gt;0,"?",""))),"")</f>
        <v/>
      </c>
      <c r="BN53" s="581" t="str">
        <f>IF(53=53,IF($U53="","",SUMPRODUCT(--ISNUMBER(SEARCH(" "&amp;$CR$1879:$CR$1936&amp;" ",$BO53)))),"")</f>
        <v/>
      </c>
      <c r="BO53" s="581"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3" s="581" t="str">
        <f>IF(53=53,IF($U53="","",SUMPRODUCT(--ISNUMBER(SEARCH(" "&amp;$CR$1960:$CR$1976&amp;" ",$BO53)))),"")</f>
        <v/>
      </c>
      <c r="BQ53" s="581" t="str">
        <f>IF(53=53,IF($U53="","",IF(BN53&gt;0,"X",IF(BP53&gt;0,"?",""))),"")</f>
        <v/>
      </c>
      <c r="BR53" s="581" t="str">
        <f>IF(53=53,IF($U53="","",SUMPRODUCT(--ISNUMBER(SEARCH(" "&amp;$CR$1977:$CR$1990&amp;" ",$AA53)))),"")</f>
        <v/>
      </c>
      <c r="BS53" s="581" t="str">
        <f>IF(53=53,IF($U53="","",SUMPRODUCT(--ISNUMBER(SEARCH(" "&amp;$CR$1991:$CR$2005&amp;" ",$AA53)))),"")</f>
        <v/>
      </c>
      <c r="BT53" s="581" t="str">
        <f>IF(53=53,IF($U53="","",IF((BR53)-(0)&gt;0,"X",IF((BS53)-(0)&gt;0,"?",""))),"")</f>
        <v/>
      </c>
      <c r="BU53" s="581" t="str">
        <f>IF(53=53,IF($U53="","",SUMPRODUCT(--ISNUMBER(SEARCH(" "&amp;$CR$2006:$CR$2023&amp;" ",$AA53)))),"")</f>
        <v/>
      </c>
      <c r="BV53" s="581" t="str">
        <f>IF(53=53,IF($U53="","",SUMPRODUCT(--ISNUMBER(SEARCH(" "&amp;$CR$2024:$CR$2038&amp;" ",$AA53)))),"")</f>
        <v/>
      </c>
      <c r="BW53" s="581" t="str">
        <f>IF(53=53,IF($U53="","",IF((BU53)-(0)&gt;0,"X",IF((BV53)-(0)&gt;0,"?",""))),"")</f>
        <v/>
      </c>
      <c r="BX53" s="581" t="str">
        <f>IF(53=53,IF($U53="","",SUMPRODUCT(--ISNUMBER(SEARCH(" "&amp;$CR$2039:$CR$2057&amp;" ",$AA53)))),"")</f>
        <v/>
      </c>
      <c r="BY53" s="581" t="str">
        <f>IF(53=53,IF($U53="","",SUMPRODUCT(--ISNUMBER(SEARCH(" "&amp;$CR$2058:$CR$2072&amp;" ",$AA53)))),"")</f>
        <v/>
      </c>
      <c r="BZ53" s="581" t="str">
        <f>IF(53=53,IF($U53="","",IF((BX53)-(0)&gt;0,"X",IF((BY53)-(0)&gt;0,"?",""))),"")</f>
        <v/>
      </c>
      <c r="CA53" s="581" t="str">
        <f>IF(53=53,IF($U53="","",SUMPRODUCT(--ISNUMBER(SEARCH(" "&amp;$CR$2073:$CR$2093&amp;" ",$AA53)))),"")</f>
        <v/>
      </c>
      <c r="CB53" s="581" t="str">
        <f>IF(53=53,IF($U53="","",SUMPRODUCT(--ISNUMBER(SEARCH(" "&amp;$CR$2094:$CR$2133&amp;" ",SUBSTITUTE(SUBSTITUTE($AA53," "&amp;$CR$1367&amp;" "," ")," "&amp;$CR$1366&amp;" "," "))))+--ISNUMBER(SEARCH("poiré",$V53))),"")</f>
        <v/>
      </c>
      <c r="CC53" s="581" t="str">
        <f>IF(53=53,IF($U53="","",IF(OR(CA53&gt;0,ISNUMBER(SEARCH(" vinaigre de vin ",$AA53)),ISNUMBER(SEARCH(" vinaigre au vin ",$AA53))),"X",IF(CB53&gt;0,"?",""))),"")</f>
        <v/>
      </c>
      <c r="CD53" s="581" t="str">
        <f>IF(53=53,IF($U53="","",SUMPRODUCT(--ISNUMBER(SEARCH(" "&amp;$CR$2134:$CR$2146&amp;" ",$AA53)))),"")</f>
        <v/>
      </c>
      <c r="CE53" s="581" t="str">
        <f>IF(53=53,IF($U53="","",SUMPRODUCT(--ISNUMBER(SEARCH(" "&amp;$CR$2147:$CR$2152&amp;" ",$AA53)))),"")</f>
        <v/>
      </c>
      <c r="CF53" s="581" t="str">
        <f>IF(53=53,IF($U53="","",IF((CD53)-(0)&gt;0,"X",IF((CE53)-(0)&gt;0,"?",""))),"")</f>
        <v/>
      </c>
      <c r="CG53" s="581" t="str">
        <f>IF(53=53,IF($U53="","",SUMPRODUCT(--ISNUMBER(SEARCH(" "&amp;$CR$2153:$CR$2252&amp;" ",$CJ53)))),"")</f>
        <v/>
      </c>
      <c r="CH53" s="581" t="str">
        <f>IF(53=53,IF($U53="","",SUMPRODUCT(--ISNUMBER(SEARCH(" "&amp;$CR$2253:$CR$2352&amp;" ",$CJ53)))),"")</f>
        <v/>
      </c>
      <c r="CI53" s="581" t="str">
        <f>IF(53=53,IF($U53="","",SUMPRODUCT(--ISNUMBER(SEARCH(" "&amp;$CR$2353:$CR$2395&amp;" ",$CJ53)))),"")</f>
        <v/>
      </c>
      <c r="CJ53" s="581"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c>
      <c r="CK53" s="581" t="str">
        <f>IF(53=53,IF($U53="","",SUMPRODUCT(--ISNUMBER(SEARCH(" "&amp;$CR$2412:$CR$2416&amp;" ",$CJ53)))),"")</f>
        <v/>
      </c>
      <c r="CL53" s="581" t="str">
        <f>IF(53=53,IF($U53="","",IF(SUM(CG53:CI53)&gt;0,"X",IF(CK53&gt;0,"?",""))),"")</f>
        <v/>
      </c>
      <c r="CM53" s="582"/>
      <c r="CN53" s="584" t="s">
        <v>2118</v>
      </c>
      <c r="CO53" s="584" t="s">
        <v>1887</v>
      </c>
      <c r="CP53" s="584" t="s">
        <v>1888</v>
      </c>
      <c r="CQ53" s="584" t="s">
        <v>2119</v>
      </c>
      <c r="CR53" s="584" t="s">
        <v>2119</v>
      </c>
      <c r="CS53" s="584" t="s">
        <v>1890</v>
      </c>
      <c r="CT53" s="584" t="s">
        <v>1891</v>
      </c>
      <c r="CU53" s="584" t="s">
        <v>1892</v>
      </c>
      <c r="CV53" s="585" t="s">
        <v>1893</v>
      </c>
    </row>
    <row r="54" spans="1:100" ht="21.95" customHeight="1" x14ac:dyDescent="0.25">
      <c r="A54" s="597">
        <v>48</v>
      </c>
      <c r="B54" s="598"/>
      <c r="C54" s="599" t="str">
        <f t="shared" si="0"/>
        <v/>
      </c>
      <c r="D54" s="600"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601" t="str">
        <f>IF(54=54,IF($B54="","",AF54),"")</f>
        <v/>
      </c>
      <c r="F54" s="601" t="str">
        <f>IF(54=54,IF($B54="","",AI54),"")</f>
        <v/>
      </c>
      <c r="G54" s="601" t="str">
        <f>IF(54=54,IF($B54="","",AM54),"")</f>
        <v/>
      </c>
      <c r="H54" s="601" t="str">
        <f>IF(54=54,IF($B54="","",AZ54),"")</f>
        <v/>
      </c>
      <c r="I54" s="601" t="str">
        <f>IF(54=54,IF($B54="","",BB54),"")</f>
        <v/>
      </c>
      <c r="J54" s="601" t="str">
        <f>IF(54=54,IF($B54="","",BF54),"")</f>
        <v/>
      </c>
      <c r="K54" s="601" t="str">
        <f>IF(54=54,IF($B54="","",BM54),"")</f>
        <v/>
      </c>
      <c r="L54" s="601" t="str">
        <f>IF(54=54,IF($B54="","",BQ54),"")</f>
        <v/>
      </c>
      <c r="M54" s="601" t="str">
        <f>IF(54=54,IF($B54="","",BT54),"")</f>
        <v/>
      </c>
      <c r="N54" s="601" t="str">
        <f>IF(54=54,IF($B54="","",BW54),"")</f>
        <v/>
      </c>
      <c r="O54" s="601" t="str">
        <f>IF(54=54,IF($B54="","",BZ54),"")</f>
        <v/>
      </c>
      <c r="P54" s="601" t="str">
        <f>IF(54=54,IF($B54="","",CC54),"")</f>
        <v/>
      </c>
      <c r="Q54" s="601" t="str">
        <f>IF(54=54,IF($B54="","",CF54),"")</f>
        <v/>
      </c>
      <c r="R54" s="601" t="str">
        <f>IF(54=54,IF($B54="","",CL54),"")</f>
        <v/>
      </c>
      <c r="S54" s="602"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
      </c>
      <c r="U54" s="581" t="str">
        <f>IF(54=54,IF($B54="","",$B54),"")</f>
        <v/>
      </c>
      <c r="V54" s="581" t="str">
        <f>IF(54=54,LOWER(CLEAN(SUBSTITUTE(SUBSTITUTE(SUBSTITUTE(SUBSTITUTE($U54,CHAR(160)," ")," "," "),CHAR(10)," "),CHAR(13)," "))),"")</f>
        <v/>
      </c>
      <c r="W54" s="581" t="str">
        <f>IF(54=54,SUBSTITUTE(SUBSTITUTE(SUBSTITUTE(SUBSTITUTE(SUBSTITUTE(SUBSTITUTE(SUBSTITUTE(SUBSTITUTE(SUBSTITUTE(SUBSTITUTE(SUBSTITUTE(SUBSTITUTE($V54,"œ","oe"),"æ","ae"),"à","a"),"á","a"),"â","a"),"ä","a"),"ã","a"),"ç","c"),"è","e"),"é","e"),"ê","e"),"ë","e"),"")</f>
        <v/>
      </c>
      <c r="X54" s="581" t="str">
        <f>IF(54=54,SUBSTITUTE(SUBSTITUTE(SUBSTITUTE(SUBSTITUTE(SUBSTITUTE(SUBSTITUTE(SUBSTITUTE(SUBSTITUTE(SUBSTITUTE(SUBSTITUTE(SUBSTITUTE(SUBSTITUTE(SUBSTITUTE(SUBSTITUTE(SUBSTITUTE(SUBSTITUTE($W54,"ì","i"),"í","i"),"î","i"),"ï","i"),"ñ","n"),"ò","o"),"ó","o"),"ô","o"),"ö","o"),"õ","o"),"ù","u"),"ú","u"),"û","u"),"ü","u"),"ý","y"),"ÿ","y"),"")</f>
        <v/>
      </c>
      <c r="Y54" s="581" t="str">
        <f>IF(54=54,SUBSTITUTE(SUBSTITUTE(SUBSTITUTE(SUBSTITUTE(SUBSTITUTE(SUBSTITUTE(SUBSTITUTE(SUBSTITUTE(SUBSTITUTE(SUBSTITUTE(SUBSTITUTE(SUBSTITUTE(SUBSTITUTE(SUBSTITUTE($X54,"’"," "),"`"," "),"–"," "),"—"," "),"-"," "),"'"," "),"/"," "),"_"," "),","," "),"."," "),"("," "),")"," "),";"," "),":"," "),"")</f>
        <v/>
      </c>
      <c r="Z54" s="581" t="str">
        <f>IF(54=54,SUBSTITUTE(SUBSTITUTE(SUBSTITUTE(SUBSTITUTE(SUBSTITUTE(SUBSTITUTE(SUBSTITUTE(SUBSTITUTE(SUBSTITUTE(SUBSTITUTE(SUBSTITUTE(SUBSTITUTE(SUBSTITUTE(SUBSTITUTE(SUBSTITUTE($Y54,"!"," "),"?"," "),"+"," "),"*"," "),"&amp;"," "),"["," "),"]"," "),"{"," "),"}"," "),"%"," "),"="," "),"\"," "),"|"," "),"&lt;"," "),"&gt;"," "),"")</f>
        <v/>
      </c>
      <c r="AA54" s="581" t="str">
        <f>IF(54=54," "&amp;TRIM(SUBSTITUTE(SUBSTITUTE(SUBSTITUTE(SUBSTITUTE(SUBSTITUTE(SUBSTITUTE($Z54,CHAR(34)," "),"  "," "),"  "," "),"  "," "),"  "," "),"  "," "))&amp;" ","")</f>
        <v xml:space="preserve">  </v>
      </c>
      <c r="AB54" s="581" t="str">
        <f>IF(54=54,IF($U54="","",SUMPRODUCT(--ISNUMBER(SEARCH(" "&amp;$CR$2:$CR$101&amp;" ",$AD54)))),"")</f>
        <v/>
      </c>
      <c r="AC54" s="581" t="str">
        <f>IF(54=54,IF($U54="","",SUMPRODUCT(--ISNUMBER(SEARCH(" "&amp;$CR$102:$CR$151&amp;" ",$AD54)))),"")</f>
        <v/>
      </c>
      <c r="AD54" s="581"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4" s="581" t="str">
        <f>IF(54=54,IF($U54="","",SUMPRODUCT(--ISNUMBER(SEARCH(" "&amp;$CR$184:$CR$205&amp;" ",$AD54)))),"")</f>
        <v/>
      </c>
      <c r="AF54" s="581" t="str">
        <f>IF(54=54,IF($U54="","",IF(SUM(AB54:AC54)+SUMPRODUCT(--ISNUMBER(SEARCH(" "&amp;$CR$2418:$CR$2420&amp;" ",$AD54)))&gt;0,"X",IF(AE54&gt;0,"?",""))),"")</f>
        <v/>
      </c>
      <c r="AG54" s="581" t="str">
        <f>IF(54=54,IF($U54="","",SUMPRODUCT(--ISNUMBER(SEARCH(" "&amp;$CR$206:$CR$305&amp;" ",$AA54)))),"")</f>
        <v/>
      </c>
      <c r="AH54" s="581" t="str">
        <f>IF(54=54,IF($U54="","",SUMPRODUCT(--ISNUMBER(SEARCH(" "&amp;$CR$306:$CR$340&amp;" ",$AA54)))),"")</f>
        <v/>
      </c>
      <c r="AI54" s="581" t="str">
        <f>IF(54=54,IF($U54="","",IF((SUM(AG54:AH54))-(0)&gt;0,"X",IF((0)-(0)&gt;0,"?",""))),"")</f>
        <v/>
      </c>
      <c r="AJ54" s="581" t="str">
        <f>IF(54=54,IF($U54="","",SUMPRODUCT(--ISNUMBER(SEARCH(" "&amp;$CR$341:$CR$398&amp;" ",$AA54)))),"")</f>
        <v/>
      </c>
      <c r="AK54" s="581" t="str">
        <f>IF(54=54,IF($U54="","",SUMPRODUCT(--ISNUMBER(SEARCH(" "&amp;$CR$399:$CR$426&amp;" ",$AL54)))+SUMPRODUCT(--ISNUMBER(SEARCH(" "&amp;$CR$2440:$CR$2453&amp;" ",$AL54)))),"")</f>
        <v/>
      </c>
      <c r="AL54" s="581" t="str">
        <f>IF(54=54,IF($U54="","",SUBSTITUTE(SUBSTITUTE(SUBSTITUTE(SUBSTITUTE(SUBSTITUTE(SUBSTITUTE(SUBSTITUTE(SUBSTITUTE(SUBSTITUTE(SUBSTITUTE(SUBSTITUTE(SUBSTITUTE(SUBSTITUTE($AA54," "&amp;$CR$433&amp;" "," ")," "&amp;$CR$431&amp;" "," ")," "&amp;$CR$2438&amp;" "," ")," "&amp;$CR$2439&amp;" "," ")," "&amp;$CR$428&amp;" "," ")," "&amp;$CR$432&amp;" "," ")," "&amp;$CR$434&amp;" "," ")," "&amp;$CR$429&amp;" "," ")," "&amp;$CR$427&amp;" "," ")," "&amp;$CR$1367&amp;" "," ")," "&amp;$CR$435&amp;" "," ")," "&amp;$CR$1366&amp;" "," ")," "&amp;$CR$430&amp;" "," ")),"")</f>
        <v/>
      </c>
      <c r="AM54" s="581" t="str">
        <f>IF(54=54,IF($U54="","",IF(AJ54&gt;0,"X",IF(AK54&gt;0,"?",""))),"")</f>
        <v/>
      </c>
      <c r="AN54" s="581" t="str">
        <f>IF(54=54,IF($U54="","",SUMPRODUCT(--ISNUMBER(SEARCH(" "&amp;$CR$436:$CR$535&amp;" ",$AX54)))),"")</f>
        <v/>
      </c>
      <c r="AO54" s="581" t="str">
        <f>IF(54=54,IF($U54="","",SUMPRODUCT(--ISNUMBER(SEARCH(" "&amp;$CR$536:$CR$635&amp;" ",$AX54)))),"")</f>
        <v/>
      </c>
      <c r="AP54" s="581" t="str">
        <f>IF(54=54,IF($U54="","",SUMPRODUCT(--ISNUMBER(SEARCH(" "&amp;$CR$636:$CR$735&amp;" ",$AX54)))),"")</f>
        <v/>
      </c>
      <c r="AQ54" s="581" t="str">
        <f>IF(54=54,IF($U54="","",SUMPRODUCT(--ISNUMBER(SEARCH(" "&amp;$CR$736:$CR$835&amp;" ",$AX54)))),"")</f>
        <v/>
      </c>
      <c r="AR54" s="581" t="str">
        <f>IF(54=54,IF($U54="","",SUMPRODUCT(--ISNUMBER(SEARCH(" "&amp;$CR$836:$CR$935&amp;" ",$AX54)))),"")</f>
        <v/>
      </c>
      <c r="AS54" s="581" t="str">
        <f>IF(54=54,IF($U54="","",SUMPRODUCT(--ISNUMBER(SEARCH(" "&amp;$CR$936:$CR$1035&amp;" ",$AX54)))),"")</f>
        <v/>
      </c>
      <c r="AT54" s="581" t="str">
        <f>IF(54=54,IF($U54="","",SUMPRODUCT(--ISNUMBER(SEARCH(" "&amp;$CR$1036:$CR$1135&amp;" ",$AX54)))),"")</f>
        <v/>
      </c>
      <c r="AU54" s="581" t="str">
        <f>IF(54=54,IF($U54="","",SUMPRODUCT(--ISNUMBER(SEARCH(" "&amp;$CR$1136:$CR$1235&amp;" ",$AX54)))),"")</f>
        <v/>
      </c>
      <c r="AV54" s="581" t="str">
        <f>IF(54=54,IF($U54="","",SUMPRODUCT(--ISNUMBER(SEARCH(" "&amp;$CR$1236:$CR$1335&amp;" ",$AX54)))),"")</f>
        <v/>
      </c>
      <c r="AW54" s="581" t="str">
        <f>IF(54=54,IF($U54="","",SUMPRODUCT(--ISNUMBER(SEARCH(" "&amp;$CR$1336:$CR$1363&amp;" ",$AX54)))),"")</f>
        <v/>
      </c>
      <c r="AX54" s="581" t="str">
        <f>IF(54=54,IF($U54="","",SUBSTITUTE(SUBSTITUTE(SUBSTITUTE(SUBSTITUTE(SUBSTITUTE(SUBSTITUTE(SUBSTITUTE(SUBSTITUTE(SUBSTITUTE($AA54," "&amp;$CR$1365&amp;" "," ")," "&amp;$CR$1364&amp;" "," ")," "&amp;$CR$1370&amp;" "," ")," "&amp;$CR$1371&amp;" "," ")," "&amp;$CR$1367&amp;" "," ")," "&amp;$CR$1369&amp;" "," ")," "&amp;$CR$1366&amp;" "," ")," "&amp;$CR$1368&amp;" "," ")," "&amp;$CR$1372&amp;" "," ")),"")</f>
        <v/>
      </c>
      <c r="AY54" s="581" t="str">
        <f>IF(54=54,IF($U54="","",SUMPRODUCT(--ISNUMBER(SEARCH(" "&amp;$CR$1373:$CR$1383&amp;" ",$AX54)))),"")</f>
        <v/>
      </c>
      <c r="AZ54" s="581" t="str">
        <f>IF(54=54,IF($U54="","",IF(SUM(AN54:AW54)+SUMPRODUCT(--ISNUMBER(SEARCH(" "&amp;$CR$2421:$CR$2422&amp;" ",$AX54)))&gt;0,"X",IF(AY54&gt;0,"?",""))),"")</f>
        <v/>
      </c>
      <c r="BA54" s="581" t="str">
        <f>IF(54=54,IF($U54="","",SUMPRODUCT(--ISNUMBER(SEARCH(" "&amp;$CR$1384:$CR$1404&amp;" ",$AA54)))),"")</f>
        <v/>
      </c>
      <c r="BB54" s="581" t="str">
        <f>IF(54=54,IF($U54="","",IF((BA54)-(0)&gt;0,"X",IF((0)-(0)&gt;0,"?",""))),"")</f>
        <v/>
      </c>
      <c r="BC54" s="581" t="str">
        <f>IF(54=54,IF($U54="","",SUMPRODUCT(--ISNUMBER(SEARCH(" "&amp;$CR$1405:$CR$1442&amp;" ",$BD54)))),"")</f>
        <v/>
      </c>
      <c r="BD54" s="581" t="str">
        <f>IF(54=54,IF($U54="","",SUBSTITUTE(SUBSTITUTE($AA54," "&amp;$CR$1443&amp;" "," ")," "&amp;$CR$1444&amp;" "," ")),"")</f>
        <v/>
      </c>
      <c r="BE54" s="581" t="str">
        <f>IF(54=54,IF($U54="","",SUMPRODUCT(--ISNUMBER(SEARCH(" "&amp;$CR$1445:$CR$1455&amp;" ",$BD54)))),"")</f>
        <v/>
      </c>
      <c r="BF54" s="581" t="str">
        <f>IF(54=54,IF($U54="","",IF(BC54&gt;0,"X",IF(BE54&gt;0,"?",""))),"")</f>
        <v/>
      </c>
      <c r="BG54" s="581" t="str">
        <f>IF(54=54,IF($U54="","",SUMPRODUCT(--ISNUMBER(SEARCH(" "&amp;$CR$1456:$CR$1555&amp;" ",$BJ54)))),"")</f>
        <v/>
      </c>
      <c r="BH54" s="581" t="str">
        <f>IF(54=54,IF($U54="","",SUMPRODUCT(--ISNUMBER(SEARCH(" "&amp;$CR$1556:$CR$1655&amp;" ",$BJ54)))),"")</f>
        <v/>
      </c>
      <c r="BI54" s="581" t="str">
        <f>IF(54=54,IF($U54="","",SUMPRODUCT(--ISNUMBER(SEARCH(" "&amp;$CR$1656:$CR$1739&amp;" ",$BJ54)))),"")</f>
        <v/>
      </c>
      <c r="BJ54" s="581"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4" s="581" t="str">
        <f>IF(54=54,IF($U54="","",SUMPRODUCT(--ISNUMBER(SEARCH(" "&amp;$CR$1790:$CR$1869&amp;" ",$BL54)))+SUMPRODUCT(--ISNUMBER(SEARCH(" "&amp;$CR$2440:$CR$2453&amp;" ",$BL54)))),"")</f>
        <v/>
      </c>
      <c r="BL54" s="581"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c>
      <c r="BM54" s="581" t="str">
        <f>IF(54=54,IF($U54="","",IF(SUM(BG54:BI54)+SUMPRODUCT(--ISNUMBER(SEARCH(" "&amp;$CR$2423:$CR$2424&amp;" ",$BJ54)))&gt;0,"X",IF(BK54&gt;0,"?",""))),"")</f>
        <v/>
      </c>
      <c r="BN54" s="581" t="str">
        <f>IF(54=54,IF($U54="","",SUMPRODUCT(--ISNUMBER(SEARCH(" "&amp;$CR$1879:$CR$1936&amp;" ",$BO54)))),"")</f>
        <v/>
      </c>
      <c r="BO54" s="581"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4" s="581" t="str">
        <f>IF(54=54,IF($U54="","",SUMPRODUCT(--ISNUMBER(SEARCH(" "&amp;$CR$1960:$CR$1976&amp;" ",$BO54)))),"")</f>
        <v/>
      </c>
      <c r="BQ54" s="581" t="str">
        <f>IF(54=54,IF($U54="","",IF(BN54&gt;0,"X",IF(BP54&gt;0,"?",""))),"")</f>
        <v/>
      </c>
      <c r="BR54" s="581" t="str">
        <f>IF(54=54,IF($U54="","",SUMPRODUCT(--ISNUMBER(SEARCH(" "&amp;$CR$1977:$CR$1990&amp;" ",$AA54)))),"")</f>
        <v/>
      </c>
      <c r="BS54" s="581" t="str">
        <f>IF(54=54,IF($U54="","",SUMPRODUCT(--ISNUMBER(SEARCH(" "&amp;$CR$1991:$CR$2005&amp;" ",$AA54)))),"")</f>
        <v/>
      </c>
      <c r="BT54" s="581" t="str">
        <f>IF(54=54,IF($U54="","",IF((BR54)-(0)&gt;0,"X",IF((BS54)-(0)&gt;0,"?",""))),"")</f>
        <v/>
      </c>
      <c r="BU54" s="581" t="str">
        <f>IF(54=54,IF($U54="","",SUMPRODUCT(--ISNUMBER(SEARCH(" "&amp;$CR$2006:$CR$2023&amp;" ",$AA54)))),"")</f>
        <v/>
      </c>
      <c r="BV54" s="581" t="str">
        <f>IF(54=54,IF($U54="","",SUMPRODUCT(--ISNUMBER(SEARCH(" "&amp;$CR$2024:$CR$2038&amp;" ",$AA54)))),"")</f>
        <v/>
      </c>
      <c r="BW54" s="581" t="str">
        <f>IF(54=54,IF($U54="","",IF((BU54)-(0)&gt;0,"X",IF((BV54)-(0)&gt;0,"?",""))),"")</f>
        <v/>
      </c>
      <c r="BX54" s="581" t="str">
        <f>IF(54=54,IF($U54="","",SUMPRODUCT(--ISNUMBER(SEARCH(" "&amp;$CR$2039:$CR$2057&amp;" ",$AA54)))),"")</f>
        <v/>
      </c>
      <c r="BY54" s="581" t="str">
        <f>IF(54=54,IF($U54="","",SUMPRODUCT(--ISNUMBER(SEARCH(" "&amp;$CR$2058:$CR$2072&amp;" ",$AA54)))),"")</f>
        <v/>
      </c>
      <c r="BZ54" s="581" t="str">
        <f>IF(54=54,IF($U54="","",IF((BX54)-(0)&gt;0,"X",IF((BY54)-(0)&gt;0,"?",""))),"")</f>
        <v/>
      </c>
      <c r="CA54" s="581" t="str">
        <f>IF(54=54,IF($U54="","",SUMPRODUCT(--ISNUMBER(SEARCH(" "&amp;$CR$2073:$CR$2093&amp;" ",$AA54)))),"")</f>
        <v/>
      </c>
      <c r="CB54" s="581" t="str">
        <f>IF(54=54,IF($U54="","",SUMPRODUCT(--ISNUMBER(SEARCH(" "&amp;$CR$2094:$CR$2133&amp;" ",SUBSTITUTE(SUBSTITUTE($AA54," "&amp;$CR$1367&amp;" "," ")," "&amp;$CR$1366&amp;" "," "))))+--ISNUMBER(SEARCH("poiré",$V54))),"")</f>
        <v/>
      </c>
      <c r="CC54" s="581" t="str">
        <f>IF(54=54,IF($U54="","",IF(OR(CA54&gt;0,ISNUMBER(SEARCH(" vinaigre de vin ",$AA54)),ISNUMBER(SEARCH(" vinaigre au vin ",$AA54))),"X",IF(CB54&gt;0,"?",""))),"")</f>
        <v/>
      </c>
      <c r="CD54" s="581" t="str">
        <f>IF(54=54,IF($U54="","",SUMPRODUCT(--ISNUMBER(SEARCH(" "&amp;$CR$2134:$CR$2146&amp;" ",$AA54)))),"")</f>
        <v/>
      </c>
      <c r="CE54" s="581" t="str">
        <f>IF(54=54,IF($U54="","",SUMPRODUCT(--ISNUMBER(SEARCH(" "&amp;$CR$2147:$CR$2152&amp;" ",$AA54)))),"")</f>
        <v/>
      </c>
      <c r="CF54" s="581" t="str">
        <f>IF(54=54,IF($U54="","",IF((CD54)-(0)&gt;0,"X",IF((CE54)-(0)&gt;0,"?",""))),"")</f>
        <v/>
      </c>
      <c r="CG54" s="581" t="str">
        <f>IF(54=54,IF($U54="","",SUMPRODUCT(--ISNUMBER(SEARCH(" "&amp;$CR$2153:$CR$2252&amp;" ",$CJ54)))),"")</f>
        <v/>
      </c>
      <c r="CH54" s="581" t="str">
        <f>IF(54=54,IF($U54="","",SUMPRODUCT(--ISNUMBER(SEARCH(" "&amp;$CR$2253:$CR$2352&amp;" ",$CJ54)))),"")</f>
        <v/>
      </c>
      <c r="CI54" s="581" t="str">
        <f>IF(54=54,IF($U54="","",SUMPRODUCT(--ISNUMBER(SEARCH(" "&amp;$CR$2353:$CR$2395&amp;" ",$CJ54)))),"")</f>
        <v/>
      </c>
      <c r="CJ54" s="581"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c>
      <c r="CK54" s="581" t="str">
        <f>IF(54=54,IF($U54="","",SUMPRODUCT(--ISNUMBER(SEARCH(" "&amp;$CR$2412:$CR$2416&amp;" ",$CJ54)))),"")</f>
        <v/>
      </c>
      <c r="CL54" s="581" t="str">
        <f>IF(54=54,IF($U54="","",IF(SUM(CG54:CI54)&gt;0,"X",IF(CK54&gt;0,"?",""))),"")</f>
        <v/>
      </c>
      <c r="CM54" s="582"/>
      <c r="CN54" s="584" t="s">
        <v>2120</v>
      </c>
      <c r="CO54" s="584" t="s">
        <v>1887</v>
      </c>
      <c r="CP54" s="584" t="s">
        <v>1888</v>
      </c>
      <c r="CQ54" s="584" t="s">
        <v>2121</v>
      </c>
      <c r="CR54" s="584" t="s">
        <v>2121</v>
      </c>
      <c r="CS54" s="584" t="s">
        <v>1890</v>
      </c>
      <c r="CT54" s="584" t="s">
        <v>1891</v>
      </c>
      <c r="CU54" s="584" t="s">
        <v>1892</v>
      </c>
      <c r="CV54" s="585" t="s">
        <v>1893</v>
      </c>
    </row>
    <row r="55" spans="1:100" ht="21.95" customHeight="1" x14ac:dyDescent="0.25">
      <c r="A55" s="597">
        <v>49</v>
      </c>
      <c r="B55" s="598"/>
      <c r="C55" s="599" t="str">
        <f t="shared" si="0"/>
        <v/>
      </c>
      <c r="D55" s="600"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601" t="str">
        <f>IF(55=55,IF($B55="","",AF55),"")</f>
        <v/>
      </c>
      <c r="F55" s="601" t="str">
        <f>IF(55=55,IF($B55="","",AI55),"")</f>
        <v/>
      </c>
      <c r="G55" s="601" t="str">
        <f>IF(55=55,IF($B55="","",AM55),"")</f>
        <v/>
      </c>
      <c r="H55" s="601" t="str">
        <f>IF(55=55,IF($B55="","",AZ55),"")</f>
        <v/>
      </c>
      <c r="I55" s="601" t="str">
        <f>IF(55=55,IF($B55="","",BB55),"")</f>
        <v/>
      </c>
      <c r="J55" s="601" t="str">
        <f>IF(55=55,IF($B55="","",BF55),"")</f>
        <v/>
      </c>
      <c r="K55" s="601" t="str">
        <f>IF(55=55,IF($B55="","",BM55),"")</f>
        <v/>
      </c>
      <c r="L55" s="601" t="str">
        <f>IF(55=55,IF($B55="","",BQ55),"")</f>
        <v/>
      </c>
      <c r="M55" s="601" t="str">
        <f>IF(55=55,IF($B55="","",BT55),"")</f>
        <v/>
      </c>
      <c r="N55" s="601" t="str">
        <f>IF(55=55,IF($B55="","",BW55),"")</f>
        <v/>
      </c>
      <c r="O55" s="601" t="str">
        <f>IF(55=55,IF($B55="","",BZ55),"")</f>
        <v/>
      </c>
      <c r="P55" s="601" t="str">
        <f>IF(55=55,IF($B55="","",CC55),"")</f>
        <v/>
      </c>
      <c r="Q55" s="601" t="str">
        <f>IF(55=55,IF($B55="","",CF55),"")</f>
        <v/>
      </c>
      <c r="R55" s="601" t="str">
        <f>IF(55=55,IF($B55="","",CL55),"")</f>
        <v/>
      </c>
      <c r="S55" s="602"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581" t="str">
        <f>IF(55=55,IF($B55="","",$B55),"")</f>
        <v/>
      </c>
      <c r="V55" s="581" t="str">
        <f>IF(55=55,LOWER(CLEAN(SUBSTITUTE(SUBSTITUTE(SUBSTITUTE(SUBSTITUTE($U55,CHAR(160)," ")," "," "),CHAR(10)," "),CHAR(13)," "))),"")</f>
        <v/>
      </c>
      <c r="W55" s="581" t="str">
        <f>IF(55=55,SUBSTITUTE(SUBSTITUTE(SUBSTITUTE(SUBSTITUTE(SUBSTITUTE(SUBSTITUTE(SUBSTITUTE(SUBSTITUTE(SUBSTITUTE(SUBSTITUTE(SUBSTITUTE(SUBSTITUTE($V55,"œ","oe"),"æ","ae"),"à","a"),"á","a"),"â","a"),"ä","a"),"ã","a"),"ç","c"),"è","e"),"é","e"),"ê","e"),"ë","e"),"")</f>
        <v/>
      </c>
      <c r="X55" s="581" t="str">
        <f>IF(55=55,SUBSTITUTE(SUBSTITUTE(SUBSTITUTE(SUBSTITUTE(SUBSTITUTE(SUBSTITUTE(SUBSTITUTE(SUBSTITUTE(SUBSTITUTE(SUBSTITUTE(SUBSTITUTE(SUBSTITUTE(SUBSTITUTE(SUBSTITUTE(SUBSTITUTE(SUBSTITUTE($W55,"ì","i"),"í","i"),"î","i"),"ï","i"),"ñ","n"),"ò","o"),"ó","o"),"ô","o"),"ö","o"),"õ","o"),"ù","u"),"ú","u"),"û","u"),"ü","u"),"ý","y"),"ÿ","y"),"")</f>
        <v/>
      </c>
      <c r="Y55" s="581" t="str">
        <f>IF(55=55,SUBSTITUTE(SUBSTITUTE(SUBSTITUTE(SUBSTITUTE(SUBSTITUTE(SUBSTITUTE(SUBSTITUTE(SUBSTITUTE(SUBSTITUTE(SUBSTITUTE(SUBSTITUTE(SUBSTITUTE(SUBSTITUTE(SUBSTITUTE($X55,"’"," "),"`"," "),"–"," "),"—"," "),"-"," "),"'"," "),"/"," "),"_"," "),","," "),"."," "),"("," "),")"," "),";"," "),":"," "),"")</f>
        <v/>
      </c>
      <c r="Z55" s="581" t="str">
        <f>IF(55=55,SUBSTITUTE(SUBSTITUTE(SUBSTITUTE(SUBSTITUTE(SUBSTITUTE(SUBSTITUTE(SUBSTITUTE(SUBSTITUTE(SUBSTITUTE(SUBSTITUTE(SUBSTITUTE(SUBSTITUTE(SUBSTITUTE(SUBSTITUTE(SUBSTITUTE($Y55,"!"," "),"?"," "),"+"," "),"*"," "),"&amp;"," "),"["," "),"]"," "),"{"," "),"}"," "),"%"," "),"="," "),"\"," "),"|"," "),"&lt;"," "),"&gt;"," "),"")</f>
        <v/>
      </c>
      <c r="AA55" s="581" t="str">
        <f>IF(55=55," "&amp;TRIM(SUBSTITUTE(SUBSTITUTE(SUBSTITUTE(SUBSTITUTE(SUBSTITUTE(SUBSTITUTE($Z55,CHAR(34)," "),"  "," "),"  "," "),"  "," "),"  "," "),"  "," "))&amp;" ","")</f>
        <v xml:space="preserve">  </v>
      </c>
      <c r="AB55" s="581" t="str">
        <f>IF(55=55,IF($U55="","",SUMPRODUCT(--ISNUMBER(SEARCH(" "&amp;$CR$2:$CR$101&amp;" ",$AD55)))),"")</f>
        <v/>
      </c>
      <c r="AC55" s="581" t="str">
        <f>IF(55=55,IF($U55="","",SUMPRODUCT(--ISNUMBER(SEARCH(" "&amp;$CR$102:$CR$151&amp;" ",$AD55)))),"")</f>
        <v/>
      </c>
      <c r="AD55" s="581"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5" s="581" t="str">
        <f>IF(55=55,IF($U55="","",SUMPRODUCT(--ISNUMBER(SEARCH(" "&amp;$CR$184:$CR$205&amp;" ",$AD55)))),"")</f>
        <v/>
      </c>
      <c r="AF55" s="581" t="str">
        <f>IF(55=55,IF($U55="","",IF(SUM(AB55:AC55)+SUMPRODUCT(--ISNUMBER(SEARCH(" "&amp;$CR$2418:$CR$2420&amp;" ",$AD55)))&gt;0,"X",IF(AE55&gt;0,"?",""))),"")</f>
        <v/>
      </c>
      <c r="AG55" s="581" t="str">
        <f>IF(55=55,IF($U55="","",SUMPRODUCT(--ISNUMBER(SEARCH(" "&amp;$CR$206:$CR$305&amp;" ",$AA55)))),"")</f>
        <v/>
      </c>
      <c r="AH55" s="581" t="str">
        <f>IF(55=55,IF($U55="","",SUMPRODUCT(--ISNUMBER(SEARCH(" "&amp;$CR$306:$CR$340&amp;" ",$AA55)))),"")</f>
        <v/>
      </c>
      <c r="AI55" s="581" t="str">
        <f>IF(55=55,IF($U55="","",IF((SUM(AG55:AH55))-(0)&gt;0,"X",IF((0)-(0)&gt;0,"?",""))),"")</f>
        <v/>
      </c>
      <c r="AJ55" s="581" t="str">
        <f>IF(55=55,IF($U55="","",SUMPRODUCT(--ISNUMBER(SEARCH(" "&amp;$CR$341:$CR$398&amp;" ",$AA55)))),"")</f>
        <v/>
      </c>
      <c r="AK55" s="581" t="str">
        <f>IF(55=55,IF($U55="","",SUMPRODUCT(--ISNUMBER(SEARCH(" "&amp;$CR$399:$CR$426&amp;" ",$AL55)))+SUMPRODUCT(--ISNUMBER(SEARCH(" "&amp;$CR$2440:$CR$2453&amp;" ",$AL55)))),"")</f>
        <v/>
      </c>
      <c r="AL55" s="581" t="str">
        <f>IF(55=55,IF($U55="","",SUBSTITUTE(SUBSTITUTE(SUBSTITUTE(SUBSTITUTE(SUBSTITUTE(SUBSTITUTE(SUBSTITUTE(SUBSTITUTE(SUBSTITUTE(SUBSTITUTE(SUBSTITUTE(SUBSTITUTE(SUBSTITUTE($AA55," "&amp;$CR$433&amp;" "," ")," "&amp;$CR$431&amp;" "," ")," "&amp;$CR$2438&amp;" "," ")," "&amp;$CR$2439&amp;" "," ")," "&amp;$CR$428&amp;" "," ")," "&amp;$CR$432&amp;" "," ")," "&amp;$CR$434&amp;" "," ")," "&amp;$CR$429&amp;" "," ")," "&amp;$CR$427&amp;" "," ")," "&amp;$CR$1367&amp;" "," ")," "&amp;$CR$435&amp;" "," ")," "&amp;$CR$1366&amp;" "," ")," "&amp;$CR$430&amp;" "," ")),"")</f>
        <v/>
      </c>
      <c r="AM55" s="581" t="str">
        <f>IF(55=55,IF($U55="","",IF(AJ55&gt;0,"X",IF(AK55&gt;0,"?",""))),"")</f>
        <v/>
      </c>
      <c r="AN55" s="581" t="str">
        <f>IF(55=55,IF($U55="","",SUMPRODUCT(--ISNUMBER(SEARCH(" "&amp;$CR$436:$CR$535&amp;" ",$AX55)))),"")</f>
        <v/>
      </c>
      <c r="AO55" s="581" t="str">
        <f>IF(55=55,IF($U55="","",SUMPRODUCT(--ISNUMBER(SEARCH(" "&amp;$CR$536:$CR$635&amp;" ",$AX55)))),"")</f>
        <v/>
      </c>
      <c r="AP55" s="581" t="str">
        <f>IF(55=55,IF($U55="","",SUMPRODUCT(--ISNUMBER(SEARCH(" "&amp;$CR$636:$CR$735&amp;" ",$AX55)))),"")</f>
        <v/>
      </c>
      <c r="AQ55" s="581" t="str">
        <f>IF(55=55,IF($U55="","",SUMPRODUCT(--ISNUMBER(SEARCH(" "&amp;$CR$736:$CR$835&amp;" ",$AX55)))),"")</f>
        <v/>
      </c>
      <c r="AR55" s="581" t="str">
        <f>IF(55=55,IF($U55="","",SUMPRODUCT(--ISNUMBER(SEARCH(" "&amp;$CR$836:$CR$935&amp;" ",$AX55)))),"")</f>
        <v/>
      </c>
      <c r="AS55" s="581" t="str">
        <f>IF(55=55,IF($U55="","",SUMPRODUCT(--ISNUMBER(SEARCH(" "&amp;$CR$936:$CR$1035&amp;" ",$AX55)))),"")</f>
        <v/>
      </c>
      <c r="AT55" s="581" t="str">
        <f>IF(55=55,IF($U55="","",SUMPRODUCT(--ISNUMBER(SEARCH(" "&amp;$CR$1036:$CR$1135&amp;" ",$AX55)))),"")</f>
        <v/>
      </c>
      <c r="AU55" s="581" t="str">
        <f>IF(55=55,IF($U55="","",SUMPRODUCT(--ISNUMBER(SEARCH(" "&amp;$CR$1136:$CR$1235&amp;" ",$AX55)))),"")</f>
        <v/>
      </c>
      <c r="AV55" s="581" t="str">
        <f>IF(55=55,IF($U55="","",SUMPRODUCT(--ISNUMBER(SEARCH(" "&amp;$CR$1236:$CR$1335&amp;" ",$AX55)))),"")</f>
        <v/>
      </c>
      <c r="AW55" s="581" t="str">
        <f>IF(55=55,IF($U55="","",SUMPRODUCT(--ISNUMBER(SEARCH(" "&amp;$CR$1336:$CR$1363&amp;" ",$AX55)))),"")</f>
        <v/>
      </c>
      <c r="AX55" s="581" t="str">
        <f>IF(55=55,IF($U55="","",SUBSTITUTE(SUBSTITUTE(SUBSTITUTE(SUBSTITUTE(SUBSTITUTE(SUBSTITUTE(SUBSTITUTE(SUBSTITUTE(SUBSTITUTE($AA55," "&amp;$CR$1365&amp;" "," ")," "&amp;$CR$1364&amp;" "," ")," "&amp;$CR$1370&amp;" "," ")," "&amp;$CR$1371&amp;" "," ")," "&amp;$CR$1367&amp;" "," ")," "&amp;$CR$1369&amp;" "," ")," "&amp;$CR$1366&amp;" "," ")," "&amp;$CR$1368&amp;" "," ")," "&amp;$CR$1372&amp;" "," ")),"")</f>
        <v/>
      </c>
      <c r="AY55" s="581" t="str">
        <f>IF(55=55,IF($U55="","",SUMPRODUCT(--ISNUMBER(SEARCH(" "&amp;$CR$1373:$CR$1383&amp;" ",$AX55)))),"")</f>
        <v/>
      </c>
      <c r="AZ55" s="581" t="str">
        <f>IF(55=55,IF($U55="","",IF(SUM(AN55:AW55)+SUMPRODUCT(--ISNUMBER(SEARCH(" "&amp;$CR$2421:$CR$2422&amp;" ",$AX55)))&gt;0,"X",IF(AY55&gt;0,"?",""))),"")</f>
        <v/>
      </c>
      <c r="BA55" s="581" t="str">
        <f>IF(55=55,IF($U55="","",SUMPRODUCT(--ISNUMBER(SEARCH(" "&amp;$CR$1384:$CR$1404&amp;" ",$AA55)))),"")</f>
        <v/>
      </c>
      <c r="BB55" s="581" t="str">
        <f>IF(55=55,IF($U55="","",IF((BA55)-(0)&gt;0,"X",IF((0)-(0)&gt;0,"?",""))),"")</f>
        <v/>
      </c>
      <c r="BC55" s="581" t="str">
        <f>IF(55=55,IF($U55="","",SUMPRODUCT(--ISNUMBER(SEARCH(" "&amp;$CR$1405:$CR$1442&amp;" ",$BD55)))),"")</f>
        <v/>
      </c>
      <c r="BD55" s="581" t="str">
        <f>IF(55=55,IF($U55="","",SUBSTITUTE(SUBSTITUTE($AA55," "&amp;$CR$1443&amp;" "," ")," "&amp;$CR$1444&amp;" "," ")),"")</f>
        <v/>
      </c>
      <c r="BE55" s="581" t="str">
        <f>IF(55=55,IF($U55="","",SUMPRODUCT(--ISNUMBER(SEARCH(" "&amp;$CR$1445:$CR$1455&amp;" ",$BD55)))),"")</f>
        <v/>
      </c>
      <c r="BF55" s="581" t="str">
        <f>IF(55=55,IF($U55="","",IF(BC55&gt;0,"X",IF(BE55&gt;0,"?",""))),"")</f>
        <v/>
      </c>
      <c r="BG55" s="581" t="str">
        <f>IF(55=55,IF($U55="","",SUMPRODUCT(--ISNUMBER(SEARCH(" "&amp;$CR$1456:$CR$1555&amp;" ",$BJ55)))),"")</f>
        <v/>
      </c>
      <c r="BH55" s="581" t="str">
        <f>IF(55=55,IF($U55="","",SUMPRODUCT(--ISNUMBER(SEARCH(" "&amp;$CR$1556:$CR$1655&amp;" ",$BJ55)))),"")</f>
        <v/>
      </c>
      <c r="BI55" s="581" t="str">
        <f>IF(55=55,IF($U55="","",SUMPRODUCT(--ISNUMBER(SEARCH(" "&amp;$CR$1656:$CR$1739&amp;" ",$BJ55)))),"")</f>
        <v/>
      </c>
      <c r="BJ55" s="581"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5" s="581" t="str">
        <f>IF(55=55,IF($U55="","",SUMPRODUCT(--ISNUMBER(SEARCH(" "&amp;$CR$1790:$CR$1869&amp;" ",$BL55)))+SUMPRODUCT(--ISNUMBER(SEARCH(" "&amp;$CR$2440:$CR$2453&amp;" ",$BL55)))),"")</f>
        <v/>
      </c>
      <c r="BL55" s="581"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c>
      <c r="BM55" s="581" t="str">
        <f>IF(55=55,IF($U55="","",IF(SUM(BG55:BI55)+SUMPRODUCT(--ISNUMBER(SEARCH(" "&amp;$CR$2423:$CR$2424&amp;" ",$BJ55)))&gt;0,"X",IF(BK55&gt;0,"?",""))),"")</f>
        <v/>
      </c>
      <c r="BN55" s="581" t="str">
        <f>IF(55=55,IF($U55="","",SUMPRODUCT(--ISNUMBER(SEARCH(" "&amp;$CR$1879:$CR$1936&amp;" ",$BO55)))),"")</f>
        <v/>
      </c>
      <c r="BO55" s="581"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5" s="581" t="str">
        <f>IF(55=55,IF($U55="","",SUMPRODUCT(--ISNUMBER(SEARCH(" "&amp;$CR$1960:$CR$1976&amp;" ",$BO55)))),"")</f>
        <v/>
      </c>
      <c r="BQ55" s="581" t="str">
        <f>IF(55=55,IF($U55="","",IF(BN55&gt;0,"X",IF(BP55&gt;0,"?",""))),"")</f>
        <v/>
      </c>
      <c r="BR55" s="581" t="str">
        <f>IF(55=55,IF($U55="","",SUMPRODUCT(--ISNUMBER(SEARCH(" "&amp;$CR$1977:$CR$1990&amp;" ",$AA55)))),"")</f>
        <v/>
      </c>
      <c r="BS55" s="581" t="str">
        <f>IF(55=55,IF($U55="","",SUMPRODUCT(--ISNUMBER(SEARCH(" "&amp;$CR$1991:$CR$2005&amp;" ",$AA55)))),"")</f>
        <v/>
      </c>
      <c r="BT55" s="581" t="str">
        <f>IF(55=55,IF($U55="","",IF((BR55)-(0)&gt;0,"X",IF((BS55)-(0)&gt;0,"?",""))),"")</f>
        <v/>
      </c>
      <c r="BU55" s="581" t="str">
        <f>IF(55=55,IF($U55="","",SUMPRODUCT(--ISNUMBER(SEARCH(" "&amp;$CR$2006:$CR$2023&amp;" ",$AA55)))),"")</f>
        <v/>
      </c>
      <c r="BV55" s="581" t="str">
        <f>IF(55=55,IF($U55="","",SUMPRODUCT(--ISNUMBER(SEARCH(" "&amp;$CR$2024:$CR$2038&amp;" ",$AA55)))),"")</f>
        <v/>
      </c>
      <c r="BW55" s="581" t="str">
        <f>IF(55=55,IF($U55="","",IF((BU55)-(0)&gt;0,"X",IF((BV55)-(0)&gt;0,"?",""))),"")</f>
        <v/>
      </c>
      <c r="BX55" s="581" t="str">
        <f>IF(55=55,IF($U55="","",SUMPRODUCT(--ISNUMBER(SEARCH(" "&amp;$CR$2039:$CR$2057&amp;" ",$AA55)))),"")</f>
        <v/>
      </c>
      <c r="BY55" s="581" t="str">
        <f>IF(55=55,IF($U55="","",SUMPRODUCT(--ISNUMBER(SEARCH(" "&amp;$CR$2058:$CR$2072&amp;" ",$AA55)))),"")</f>
        <v/>
      </c>
      <c r="BZ55" s="581" t="str">
        <f>IF(55=55,IF($U55="","",IF((BX55)-(0)&gt;0,"X",IF((BY55)-(0)&gt;0,"?",""))),"")</f>
        <v/>
      </c>
      <c r="CA55" s="581" t="str">
        <f>IF(55=55,IF($U55="","",SUMPRODUCT(--ISNUMBER(SEARCH(" "&amp;$CR$2073:$CR$2093&amp;" ",$AA55)))),"")</f>
        <v/>
      </c>
      <c r="CB55" s="581" t="str">
        <f>IF(55=55,IF($U55="","",SUMPRODUCT(--ISNUMBER(SEARCH(" "&amp;$CR$2094:$CR$2133&amp;" ",SUBSTITUTE(SUBSTITUTE($AA55," "&amp;$CR$1367&amp;" "," ")," "&amp;$CR$1366&amp;" "," "))))+--ISNUMBER(SEARCH("poiré",$V55))),"")</f>
        <v/>
      </c>
      <c r="CC55" s="581" t="str">
        <f>IF(55=55,IF($U55="","",IF(OR(CA55&gt;0,ISNUMBER(SEARCH(" vinaigre de vin ",$AA55)),ISNUMBER(SEARCH(" vinaigre au vin ",$AA55))),"X",IF(CB55&gt;0,"?",""))),"")</f>
        <v/>
      </c>
      <c r="CD55" s="581" t="str">
        <f>IF(55=55,IF($U55="","",SUMPRODUCT(--ISNUMBER(SEARCH(" "&amp;$CR$2134:$CR$2146&amp;" ",$AA55)))),"")</f>
        <v/>
      </c>
      <c r="CE55" s="581" t="str">
        <f>IF(55=55,IF($U55="","",SUMPRODUCT(--ISNUMBER(SEARCH(" "&amp;$CR$2147:$CR$2152&amp;" ",$AA55)))),"")</f>
        <v/>
      </c>
      <c r="CF55" s="581" t="str">
        <f>IF(55=55,IF($U55="","",IF((CD55)-(0)&gt;0,"X",IF((CE55)-(0)&gt;0,"?",""))),"")</f>
        <v/>
      </c>
      <c r="CG55" s="581" t="str">
        <f>IF(55=55,IF($U55="","",SUMPRODUCT(--ISNUMBER(SEARCH(" "&amp;$CR$2153:$CR$2252&amp;" ",$CJ55)))),"")</f>
        <v/>
      </c>
      <c r="CH55" s="581" t="str">
        <f>IF(55=55,IF($U55="","",SUMPRODUCT(--ISNUMBER(SEARCH(" "&amp;$CR$2253:$CR$2352&amp;" ",$CJ55)))),"")</f>
        <v/>
      </c>
      <c r="CI55" s="581" t="str">
        <f>IF(55=55,IF($U55="","",SUMPRODUCT(--ISNUMBER(SEARCH(" "&amp;$CR$2353:$CR$2395&amp;" ",$CJ55)))),"")</f>
        <v/>
      </c>
      <c r="CJ55" s="581"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c>
      <c r="CK55" s="581" t="str">
        <f>IF(55=55,IF($U55="","",SUMPRODUCT(--ISNUMBER(SEARCH(" "&amp;$CR$2412:$CR$2416&amp;" ",$CJ55)))),"")</f>
        <v/>
      </c>
      <c r="CL55" s="581" t="str">
        <f>IF(55=55,IF($U55="","",IF(SUM(CG55:CI55)&gt;0,"X",IF(CK55&gt;0,"?",""))),"")</f>
        <v/>
      </c>
      <c r="CM55" s="582"/>
      <c r="CN55" s="584" t="s">
        <v>2122</v>
      </c>
      <c r="CO55" s="584" t="s">
        <v>1887</v>
      </c>
      <c r="CP55" s="584" t="s">
        <v>1888</v>
      </c>
      <c r="CQ55" s="584" t="s">
        <v>2123</v>
      </c>
      <c r="CR55" s="584" t="s">
        <v>2123</v>
      </c>
      <c r="CS55" s="584" t="s">
        <v>1890</v>
      </c>
      <c r="CT55" s="584" t="s">
        <v>1891</v>
      </c>
      <c r="CU55" s="584" t="s">
        <v>1892</v>
      </c>
      <c r="CV55" s="585" t="s">
        <v>1893</v>
      </c>
    </row>
    <row r="56" spans="1:100" ht="21.95" customHeight="1" x14ac:dyDescent="0.25">
      <c r="A56" s="597">
        <v>50</v>
      </c>
      <c r="B56" s="598"/>
      <c r="C56" s="599" t="str">
        <f t="shared" si="0"/>
        <v/>
      </c>
      <c r="D56" s="600"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601" t="str">
        <f>IF(56=56,IF($B56="","",AF56),"")</f>
        <v/>
      </c>
      <c r="F56" s="601" t="str">
        <f>IF(56=56,IF($B56="","",AI56),"")</f>
        <v/>
      </c>
      <c r="G56" s="601" t="str">
        <f>IF(56=56,IF($B56="","",AM56),"")</f>
        <v/>
      </c>
      <c r="H56" s="601" t="str">
        <f>IF(56=56,IF($B56="","",AZ56),"")</f>
        <v/>
      </c>
      <c r="I56" s="601" t="str">
        <f>IF(56=56,IF($B56="","",BB56),"")</f>
        <v/>
      </c>
      <c r="J56" s="601" t="str">
        <f>IF(56=56,IF($B56="","",BF56),"")</f>
        <v/>
      </c>
      <c r="K56" s="601" t="str">
        <f>IF(56=56,IF($B56="","",BM56),"")</f>
        <v/>
      </c>
      <c r="L56" s="601" t="str">
        <f>IF(56=56,IF($B56="","",BQ56),"")</f>
        <v/>
      </c>
      <c r="M56" s="601" t="str">
        <f>IF(56=56,IF($B56="","",BT56),"")</f>
        <v/>
      </c>
      <c r="N56" s="601" t="str">
        <f>IF(56=56,IF($B56="","",BW56),"")</f>
        <v/>
      </c>
      <c r="O56" s="601" t="str">
        <f>IF(56=56,IF($B56="","",BZ56),"")</f>
        <v/>
      </c>
      <c r="P56" s="601" t="str">
        <f>IF(56=56,IF($B56="","",CC56),"")</f>
        <v/>
      </c>
      <c r="Q56" s="601" t="str">
        <f>IF(56=56,IF($B56="","",CF56),"")</f>
        <v/>
      </c>
      <c r="R56" s="601" t="str">
        <f>IF(56=56,IF($B56="","",CL56),"")</f>
        <v/>
      </c>
      <c r="S56" s="602"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581" t="str">
        <f>IF(56=56,IF($B56="","",$B56),"")</f>
        <v/>
      </c>
      <c r="V56" s="581" t="str">
        <f>IF(56=56,LOWER(CLEAN(SUBSTITUTE(SUBSTITUTE(SUBSTITUTE(SUBSTITUTE($U56,CHAR(160)," ")," "," "),CHAR(10)," "),CHAR(13)," "))),"")</f>
        <v/>
      </c>
      <c r="W56" s="581" t="str">
        <f>IF(56=56,SUBSTITUTE(SUBSTITUTE(SUBSTITUTE(SUBSTITUTE(SUBSTITUTE(SUBSTITUTE(SUBSTITUTE(SUBSTITUTE(SUBSTITUTE(SUBSTITUTE(SUBSTITUTE(SUBSTITUTE($V56,"œ","oe"),"æ","ae"),"à","a"),"á","a"),"â","a"),"ä","a"),"ã","a"),"ç","c"),"è","e"),"é","e"),"ê","e"),"ë","e"),"")</f>
        <v/>
      </c>
      <c r="X56" s="581" t="str">
        <f>IF(56=56,SUBSTITUTE(SUBSTITUTE(SUBSTITUTE(SUBSTITUTE(SUBSTITUTE(SUBSTITUTE(SUBSTITUTE(SUBSTITUTE(SUBSTITUTE(SUBSTITUTE(SUBSTITUTE(SUBSTITUTE(SUBSTITUTE(SUBSTITUTE(SUBSTITUTE(SUBSTITUTE($W56,"ì","i"),"í","i"),"î","i"),"ï","i"),"ñ","n"),"ò","o"),"ó","o"),"ô","o"),"ö","o"),"õ","o"),"ù","u"),"ú","u"),"û","u"),"ü","u"),"ý","y"),"ÿ","y"),"")</f>
        <v/>
      </c>
      <c r="Y56" s="581" t="str">
        <f>IF(56=56,SUBSTITUTE(SUBSTITUTE(SUBSTITUTE(SUBSTITUTE(SUBSTITUTE(SUBSTITUTE(SUBSTITUTE(SUBSTITUTE(SUBSTITUTE(SUBSTITUTE(SUBSTITUTE(SUBSTITUTE(SUBSTITUTE(SUBSTITUTE($X56,"’"," "),"`"," "),"–"," "),"—"," "),"-"," "),"'"," "),"/"," "),"_"," "),","," "),"."," "),"("," "),")"," "),";"," "),":"," "),"")</f>
        <v/>
      </c>
      <c r="Z56" s="581" t="str">
        <f>IF(56=56,SUBSTITUTE(SUBSTITUTE(SUBSTITUTE(SUBSTITUTE(SUBSTITUTE(SUBSTITUTE(SUBSTITUTE(SUBSTITUTE(SUBSTITUTE(SUBSTITUTE(SUBSTITUTE(SUBSTITUTE(SUBSTITUTE(SUBSTITUTE(SUBSTITUTE($Y56,"!"," "),"?"," "),"+"," "),"*"," "),"&amp;"," "),"["," "),"]"," "),"{"," "),"}"," "),"%"," "),"="," "),"\"," "),"|"," "),"&lt;"," "),"&gt;"," "),"")</f>
        <v/>
      </c>
      <c r="AA56" s="581" t="str">
        <f>IF(56=56," "&amp;TRIM(SUBSTITUTE(SUBSTITUTE(SUBSTITUTE(SUBSTITUTE(SUBSTITUTE(SUBSTITUTE($Z56,CHAR(34)," "),"  "," "),"  "," "),"  "," "),"  "," "),"  "," "))&amp;" ","")</f>
        <v xml:space="preserve">  </v>
      </c>
      <c r="AB56" s="581" t="str">
        <f>IF(56=56,IF($U56="","",SUMPRODUCT(--ISNUMBER(SEARCH(" "&amp;$CR$2:$CR$101&amp;" ",$AD56)))),"")</f>
        <v/>
      </c>
      <c r="AC56" s="581" t="str">
        <f>IF(56=56,IF($U56="","",SUMPRODUCT(--ISNUMBER(SEARCH(" "&amp;$CR$102:$CR$151&amp;" ",$AD56)))),"")</f>
        <v/>
      </c>
      <c r="AD56" s="581"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6" s="581" t="str">
        <f>IF(56=56,IF($U56="","",SUMPRODUCT(--ISNUMBER(SEARCH(" "&amp;$CR$184:$CR$205&amp;" ",$AD56)))),"")</f>
        <v/>
      </c>
      <c r="AF56" s="581" t="str">
        <f>IF(56=56,IF($U56="","",IF(SUM(AB56:AC56)+SUMPRODUCT(--ISNUMBER(SEARCH(" "&amp;$CR$2418:$CR$2420&amp;" ",$AD56)))&gt;0,"X",IF(AE56&gt;0,"?",""))),"")</f>
        <v/>
      </c>
      <c r="AG56" s="581" t="str">
        <f>IF(56=56,IF($U56="","",SUMPRODUCT(--ISNUMBER(SEARCH(" "&amp;$CR$206:$CR$305&amp;" ",$AA56)))),"")</f>
        <v/>
      </c>
      <c r="AH56" s="581" t="str">
        <f>IF(56=56,IF($U56="","",SUMPRODUCT(--ISNUMBER(SEARCH(" "&amp;$CR$306:$CR$340&amp;" ",$AA56)))),"")</f>
        <v/>
      </c>
      <c r="AI56" s="581" t="str">
        <f>IF(56=56,IF($U56="","",IF((SUM(AG56:AH56))-(0)&gt;0,"X",IF((0)-(0)&gt;0,"?",""))),"")</f>
        <v/>
      </c>
      <c r="AJ56" s="581" t="str">
        <f>IF(56=56,IF($U56="","",SUMPRODUCT(--ISNUMBER(SEARCH(" "&amp;$CR$341:$CR$398&amp;" ",$AA56)))),"")</f>
        <v/>
      </c>
      <c r="AK56" s="581" t="str">
        <f>IF(56=56,IF($U56="","",SUMPRODUCT(--ISNUMBER(SEARCH(" "&amp;$CR$399:$CR$426&amp;" ",$AL56)))+SUMPRODUCT(--ISNUMBER(SEARCH(" "&amp;$CR$2440:$CR$2453&amp;" ",$AL56)))),"")</f>
        <v/>
      </c>
      <c r="AL56" s="581" t="str">
        <f>IF(56=56,IF($U56="","",SUBSTITUTE(SUBSTITUTE(SUBSTITUTE(SUBSTITUTE(SUBSTITUTE(SUBSTITUTE(SUBSTITUTE(SUBSTITUTE(SUBSTITUTE(SUBSTITUTE(SUBSTITUTE(SUBSTITUTE(SUBSTITUTE($AA56," "&amp;$CR$433&amp;" "," ")," "&amp;$CR$431&amp;" "," ")," "&amp;$CR$2438&amp;" "," ")," "&amp;$CR$2439&amp;" "," ")," "&amp;$CR$428&amp;" "," ")," "&amp;$CR$432&amp;" "," ")," "&amp;$CR$434&amp;" "," ")," "&amp;$CR$429&amp;" "," ")," "&amp;$CR$427&amp;" "," ")," "&amp;$CR$1367&amp;" "," ")," "&amp;$CR$435&amp;" "," ")," "&amp;$CR$1366&amp;" "," ")," "&amp;$CR$430&amp;" "," ")),"")</f>
        <v/>
      </c>
      <c r="AM56" s="581" t="str">
        <f>IF(56=56,IF($U56="","",IF(AJ56&gt;0,"X",IF(AK56&gt;0,"?",""))),"")</f>
        <v/>
      </c>
      <c r="AN56" s="581" t="str">
        <f>IF(56=56,IF($U56="","",SUMPRODUCT(--ISNUMBER(SEARCH(" "&amp;$CR$436:$CR$535&amp;" ",$AX56)))),"")</f>
        <v/>
      </c>
      <c r="AO56" s="581" t="str">
        <f>IF(56=56,IF($U56="","",SUMPRODUCT(--ISNUMBER(SEARCH(" "&amp;$CR$536:$CR$635&amp;" ",$AX56)))),"")</f>
        <v/>
      </c>
      <c r="AP56" s="581" t="str">
        <f>IF(56=56,IF($U56="","",SUMPRODUCT(--ISNUMBER(SEARCH(" "&amp;$CR$636:$CR$735&amp;" ",$AX56)))),"")</f>
        <v/>
      </c>
      <c r="AQ56" s="581" t="str">
        <f>IF(56=56,IF($U56="","",SUMPRODUCT(--ISNUMBER(SEARCH(" "&amp;$CR$736:$CR$835&amp;" ",$AX56)))),"")</f>
        <v/>
      </c>
      <c r="AR56" s="581" t="str">
        <f>IF(56=56,IF($U56="","",SUMPRODUCT(--ISNUMBER(SEARCH(" "&amp;$CR$836:$CR$935&amp;" ",$AX56)))),"")</f>
        <v/>
      </c>
      <c r="AS56" s="581" t="str">
        <f>IF(56=56,IF($U56="","",SUMPRODUCT(--ISNUMBER(SEARCH(" "&amp;$CR$936:$CR$1035&amp;" ",$AX56)))),"")</f>
        <v/>
      </c>
      <c r="AT56" s="581" t="str">
        <f>IF(56=56,IF($U56="","",SUMPRODUCT(--ISNUMBER(SEARCH(" "&amp;$CR$1036:$CR$1135&amp;" ",$AX56)))),"")</f>
        <v/>
      </c>
      <c r="AU56" s="581" t="str">
        <f>IF(56=56,IF($U56="","",SUMPRODUCT(--ISNUMBER(SEARCH(" "&amp;$CR$1136:$CR$1235&amp;" ",$AX56)))),"")</f>
        <v/>
      </c>
      <c r="AV56" s="581" t="str">
        <f>IF(56=56,IF($U56="","",SUMPRODUCT(--ISNUMBER(SEARCH(" "&amp;$CR$1236:$CR$1335&amp;" ",$AX56)))),"")</f>
        <v/>
      </c>
      <c r="AW56" s="581" t="str">
        <f>IF(56=56,IF($U56="","",SUMPRODUCT(--ISNUMBER(SEARCH(" "&amp;$CR$1336:$CR$1363&amp;" ",$AX56)))),"")</f>
        <v/>
      </c>
      <c r="AX56" s="581" t="str">
        <f>IF(56=56,IF($U56="","",SUBSTITUTE(SUBSTITUTE(SUBSTITUTE(SUBSTITUTE(SUBSTITUTE(SUBSTITUTE(SUBSTITUTE(SUBSTITUTE(SUBSTITUTE($AA56," "&amp;$CR$1365&amp;" "," ")," "&amp;$CR$1364&amp;" "," ")," "&amp;$CR$1370&amp;" "," ")," "&amp;$CR$1371&amp;" "," ")," "&amp;$CR$1367&amp;" "," ")," "&amp;$CR$1369&amp;" "," ")," "&amp;$CR$1366&amp;" "," ")," "&amp;$CR$1368&amp;" "," ")," "&amp;$CR$1372&amp;" "," ")),"")</f>
        <v/>
      </c>
      <c r="AY56" s="581" t="str">
        <f>IF(56=56,IF($U56="","",SUMPRODUCT(--ISNUMBER(SEARCH(" "&amp;$CR$1373:$CR$1383&amp;" ",$AX56)))),"")</f>
        <v/>
      </c>
      <c r="AZ56" s="581" t="str">
        <f>IF(56=56,IF($U56="","",IF(SUM(AN56:AW56)+SUMPRODUCT(--ISNUMBER(SEARCH(" "&amp;$CR$2421:$CR$2422&amp;" ",$AX56)))&gt;0,"X",IF(AY56&gt;0,"?",""))),"")</f>
        <v/>
      </c>
      <c r="BA56" s="581" t="str">
        <f>IF(56=56,IF($U56="","",SUMPRODUCT(--ISNUMBER(SEARCH(" "&amp;$CR$1384:$CR$1404&amp;" ",$AA56)))),"")</f>
        <v/>
      </c>
      <c r="BB56" s="581" t="str">
        <f>IF(56=56,IF($U56="","",IF((BA56)-(0)&gt;0,"X",IF((0)-(0)&gt;0,"?",""))),"")</f>
        <v/>
      </c>
      <c r="BC56" s="581" t="str">
        <f>IF(56=56,IF($U56="","",SUMPRODUCT(--ISNUMBER(SEARCH(" "&amp;$CR$1405:$CR$1442&amp;" ",$BD56)))),"")</f>
        <v/>
      </c>
      <c r="BD56" s="581" t="str">
        <f>IF(56=56,IF($U56="","",SUBSTITUTE(SUBSTITUTE($AA56," "&amp;$CR$1443&amp;" "," ")," "&amp;$CR$1444&amp;" "," ")),"")</f>
        <v/>
      </c>
      <c r="BE56" s="581" t="str">
        <f>IF(56=56,IF($U56="","",SUMPRODUCT(--ISNUMBER(SEARCH(" "&amp;$CR$1445:$CR$1455&amp;" ",$BD56)))),"")</f>
        <v/>
      </c>
      <c r="BF56" s="581" t="str">
        <f>IF(56=56,IF($U56="","",IF(BC56&gt;0,"X",IF(BE56&gt;0,"?",""))),"")</f>
        <v/>
      </c>
      <c r="BG56" s="581" t="str">
        <f>IF(56=56,IF($U56="","",SUMPRODUCT(--ISNUMBER(SEARCH(" "&amp;$CR$1456:$CR$1555&amp;" ",$BJ56)))),"")</f>
        <v/>
      </c>
      <c r="BH56" s="581" t="str">
        <f>IF(56=56,IF($U56="","",SUMPRODUCT(--ISNUMBER(SEARCH(" "&amp;$CR$1556:$CR$1655&amp;" ",$BJ56)))),"")</f>
        <v/>
      </c>
      <c r="BI56" s="581" t="str">
        <f>IF(56=56,IF($U56="","",SUMPRODUCT(--ISNUMBER(SEARCH(" "&amp;$CR$1656:$CR$1739&amp;" ",$BJ56)))),"")</f>
        <v/>
      </c>
      <c r="BJ56" s="581"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6" s="581" t="str">
        <f>IF(56=56,IF($U56="","",SUMPRODUCT(--ISNUMBER(SEARCH(" "&amp;$CR$1790:$CR$1869&amp;" ",$BL56)))+SUMPRODUCT(--ISNUMBER(SEARCH(" "&amp;$CR$2440:$CR$2453&amp;" ",$BL56)))),"")</f>
        <v/>
      </c>
      <c r="BL56" s="581"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c>
      <c r="BM56" s="581" t="str">
        <f>IF(56=56,IF($U56="","",IF(SUM(BG56:BI56)+SUMPRODUCT(--ISNUMBER(SEARCH(" "&amp;$CR$2423:$CR$2424&amp;" ",$BJ56)))&gt;0,"X",IF(BK56&gt;0,"?",""))),"")</f>
        <v/>
      </c>
      <c r="BN56" s="581" t="str">
        <f>IF(56=56,IF($U56="","",SUMPRODUCT(--ISNUMBER(SEARCH(" "&amp;$CR$1879:$CR$1936&amp;" ",$BO56)))),"")</f>
        <v/>
      </c>
      <c r="BO56" s="581"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6" s="581" t="str">
        <f>IF(56=56,IF($U56="","",SUMPRODUCT(--ISNUMBER(SEARCH(" "&amp;$CR$1960:$CR$1976&amp;" ",$BO56)))),"")</f>
        <v/>
      </c>
      <c r="BQ56" s="581" t="str">
        <f>IF(56=56,IF($U56="","",IF(BN56&gt;0,"X",IF(BP56&gt;0,"?",""))),"")</f>
        <v/>
      </c>
      <c r="BR56" s="581" t="str">
        <f>IF(56=56,IF($U56="","",SUMPRODUCT(--ISNUMBER(SEARCH(" "&amp;$CR$1977:$CR$1990&amp;" ",$AA56)))),"")</f>
        <v/>
      </c>
      <c r="BS56" s="581" t="str">
        <f>IF(56=56,IF($U56="","",SUMPRODUCT(--ISNUMBER(SEARCH(" "&amp;$CR$1991:$CR$2005&amp;" ",$AA56)))),"")</f>
        <v/>
      </c>
      <c r="BT56" s="581" t="str">
        <f>IF(56=56,IF($U56="","",IF((BR56)-(0)&gt;0,"X",IF((BS56)-(0)&gt;0,"?",""))),"")</f>
        <v/>
      </c>
      <c r="BU56" s="581" t="str">
        <f>IF(56=56,IF($U56="","",SUMPRODUCT(--ISNUMBER(SEARCH(" "&amp;$CR$2006:$CR$2023&amp;" ",$AA56)))),"")</f>
        <v/>
      </c>
      <c r="BV56" s="581" t="str">
        <f>IF(56=56,IF($U56="","",SUMPRODUCT(--ISNUMBER(SEARCH(" "&amp;$CR$2024:$CR$2038&amp;" ",$AA56)))),"")</f>
        <v/>
      </c>
      <c r="BW56" s="581" t="str">
        <f>IF(56=56,IF($U56="","",IF((BU56)-(0)&gt;0,"X",IF((BV56)-(0)&gt;0,"?",""))),"")</f>
        <v/>
      </c>
      <c r="BX56" s="581" t="str">
        <f>IF(56=56,IF($U56="","",SUMPRODUCT(--ISNUMBER(SEARCH(" "&amp;$CR$2039:$CR$2057&amp;" ",$AA56)))),"")</f>
        <v/>
      </c>
      <c r="BY56" s="581" t="str">
        <f>IF(56=56,IF($U56="","",SUMPRODUCT(--ISNUMBER(SEARCH(" "&amp;$CR$2058:$CR$2072&amp;" ",$AA56)))),"")</f>
        <v/>
      </c>
      <c r="BZ56" s="581" t="str">
        <f>IF(56=56,IF($U56="","",IF((BX56)-(0)&gt;0,"X",IF((BY56)-(0)&gt;0,"?",""))),"")</f>
        <v/>
      </c>
      <c r="CA56" s="581" t="str">
        <f>IF(56=56,IF($U56="","",SUMPRODUCT(--ISNUMBER(SEARCH(" "&amp;$CR$2073:$CR$2093&amp;" ",$AA56)))),"")</f>
        <v/>
      </c>
      <c r="CB56" s="581" t="str">
        <f>IF(56=56,IF($U56="","",SUMPRODUCT(--ISNUMBER(SEARCH(" "&amp;$CR$2094:$CR$2133&amp;" ",SUBSTITUTE(SUBSTITUTE($AA56," "&amp;$CR$1367&amp;" "," ")," "&amp;$CR$1366&amp;" "," "))))+--ISNUMBER(SEARCH("poiré",$V56))),"")</f>
        <v/>
      </c>
      <c r="CC56" s="581" t="str">
        <f>IF(56=56,IF($U56="","",IF(OR(CA56&gt;0,ISNUMBER(SEARCH(" vinaigre de vin ",$AA56)),ISNUMBER(SEARCH(" vinaigre au vin ",$AA56))),"X",IF(CB56&gt;0,"?",""))),"")</f>
        <v/>
      </c>
      <c r="CD56" s="581" t="str">
        <f>IF(56=56,IF($U56="","",SUMPRODUCT(--ISNUMBER(SEARCH(" "&amp;$CR$2134:$CR$2146&amp;" ",$AA56)))),"")</f>
        <v/>
      </c>
      <c r="CE56" s="581" t="str">
        <f>IF(56=56,IF($U56="","",SUMPRODUCT(--ISNUMBER(SEARCH(" "&amp;$CR$2147:$CR$2152&amp;" ",$AA56)))),"")</f>
        <v/>
      </c>
      <c r="CF56" s="581" t="str">
        <f>IF(56=56,IF($U56="","",IF((CD56)-(0)&gt;0,"X",IF((CE56)-(0)&gt;0,"?",""))),"")</f>
        <v/>
      </c>
      <c r="CG56" s="581" t="str">
        <f>IF(56=56,IF($U56="","",SUMPRODUCT(--ISNUMBER(SEARCH(" "&amp;$CR$2153:$CR$2252&amp;" ",$CJ56)))),"")</f>
        <v/>
      </c>
      <c r="CH56" s="581" t="str">
        <f>IF(56=56,IF($U56="","",SUMPRODUCT(--ISNUMBER(SEARCH(" "&amp;$CR$2253:$CR$2352&amp;" ",$CJ56)))),"")</f>
        <v/>
      </c>
      <c r="CI56" s="581" t="str">
        <f>IF(56=56,IF($U56="","",SUMPRODUCT(--ISNUMBER(SEARCH(" "&amp;$CR$2353:$CR$2395&amp;" ",$CJ56)))),"")</f>
        <v/>
      </c>
      <c r="CJ56" s="581"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c>
      <c r="CK56" s="581" t="str">
        <f>IF(56=56,IF($U56="","",SUMPRODUCT(--ISNUMBER(SEARCH(" "&amp;$CR$2412:$CR$2416&amp;" ",$CJ56)))),"")</f>
        <v/>
      </c>
      <c r="CL56" s="581" t="str">
        <f>IF(56=56,IF($U56="","",IF(SUM(CG56:CI56)&gt;0,"X",IF(CK56&gt;0,"?",""))),"")</f>
        <v/>
      </c>
      <c r="CM56" s="582"/>
      <c r="CN56" s="584" t="s">
        <v>2124</v>
      </c>
      <c r="CO56" s="584" t="s">
        <v>1887</v>
      </c>
      <c r="CP56" s="584" t="s">
        <v>1888</v>
      </c>
      <c r="CQ56" s="584" t="s">
        <v>2125</v>
      </c>
      <c r="CR56" s="584" t="s">
        <v>2125</v>
      </c>
      <c r="CS56" s="584" t="s">
        <v>1890</v>
      </c>
      <c r="CT56" s="584" t="s">
        <v>1891</v>
      </c>
      <c r="CU56" s="584" t="s">
        <v>1892</v>
      </c>
      <c r="CV56" s="585" t="s">
        <v>1893</v>
      </c>
    </row>
    <row r="57" spans="1:100" ht="21.95" customHeight="1" x14ac:dyDescent="0.25">
      <c r="A57" s="597">
        <v>51</v>
      </c>
      <c r="B57" s="598"/>
      <c r="C57" s="599" t="str">
        <f t="shared" si="0"/>
        <v/>
      </c>
      <c r="D57" s="600"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601" t="str">
        <f>IF(57=57,IF($B57="","",AF57),"")</f>
        <v/>
      </c>
      <c r="F57" s="601" t="str">
        <f>IF(57=57,IF($B57="","",AI57),"")</f>
        <v/>
      </c>
      <c r="G57" s="601" t="str">
        <f>IF(57=57,IF($B57="","",AM57),"")</f>
        <v/>
      </c>
      <c r="H57" s="601" t="str">
        <f>IF(57=57,IF($B57="","",AZ57),"")</f>
        <v/>
      </c>
      <c r="I57" s="601" t="str">
        <f>IF(57=57,IF($B57="","",BB57),"")</f>
        <v/>
      </c>
      <c r="J57" s="601" t="str">
        <f>IF(57=57,IF($B57="","",BF57),"")</f>
        <v/>
      </c>
      <c r="K57" s="601" t="str">
        <f>IF(57=57,IF($B57="","",BM57),"")</f>
        <v/>
      </c>
      <c r="L57" s="601" t="str">
        <f>IF(57=57,IF($B57="","",BQ57),"")</f>
        <v/>
      </c>
      <c r="M57" s="601" t="str">
        <f>IF(57=57,IF($B57="","",BT57),"")</f>
        <v/>
      </c>
      <c r="N57" s="601" t="str">
        <f>IF(57=57,IF($B57="","",BW57),"")</f>
        <v/>
      </c>
      <c r="O57" s="601" t="str">
        <f>IF(57=57,IF($B57="","",BZ57),"")</f>
        <v/>
      </c>
      <c r="P57" s="601" t="str">
        <f>IF(57=57,IF($B57="","",CC57),"")</f>
        <v/>
      </c>
      <c r="Q57" s="601" t="str">
        <f>IF(57=57,IF($B57="","",CF57),"")</f>
        <v/>
      </c>
      <c r="R57" s="601" t="str">
        <f>IF(57=57,IF($B57="","",CL57),"")</f>
        <v/>
      </c>
      <c r="S57" s="602"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
      </c>
      <c r="U57" s="581" t="str">
        <f>IF(57=57,IF($B57="","",$B57),"")</f>
        <v/>
      </c>
      <c r="V57" s="581" t="str">
        <f>IF(57=57,LOWER(CLEAN(SUBSTITUTE(SUBSTITUTE(SUBSTITUTE(SUBSTITUTE($U57,CHAR(160)," ")," "," "),CHAR(10)," "),CHAR(13)," "))),"")</f>
        <v/>
      </c>
      <c r="W57" s="581" t="str">
        <f>IF(57=57,SUBSTITUTE(SUBSTITUTE(SUBSTITUTE(SUBSTITUTE(SUBSTITUTE(SUBSTITUTE(SUBSTITUTE(SUBSTITUTE(SUBSTITUTE(SUBSTITUTE(SUBSTITUTE(SUBSTITUTE($V57,"œ","oe"),"æ","ae"),"à","a"),"á","a"),"â","a"),"ä","a"),"ã","a"),"ç","c"),"è","e"),"é","e"),"ê","e"),"ë","e"),"")</f>
        <v/>
      </c>
      <c r="X57" s="581" t="str">
        <f>IF(57=57,SUBSTITUTE(SUBSTITUTE(SUBSTITUTE(SUBSTITUTE(SUBSTITUTE(SUBSTITUTE(SUBSTITUTE(SUBSTITUTE(SUBSTITUTE(SUBSTITUTE(SUBSTITUTE(SUBSTITUTE(SUBSTITUTE(SUBSTITUTE(SUBSTITUTE(SUBSTITUTE($W57,"ì","i"),"í","i"),"î","i"),"ï","i"),"ñ","n"),"ò","o"),"ó","o"),"ô","o"),"ö","o"),"õ","o"),"ù","u"),"ú","u"),"û","u"),"ü","u"),"ý","y"),"ÿ","y"),"")</f>
        <v/>
      </c>
      <c r="Y57" s="581" t="str">
        <f>IF(57=57,SUBSTITUTE(SUBSTITUTE(SUBSTITUTE(SUBSTITUTE(SUBSTITUTE(SUBSTITUTE(SUBSTITUTE(SUBSTITUTE(SUBSTITUTE(SUBSTITUTE(SUBSTITUTE(SUBSTITUTE(SUBSTITUTE(SUBSTITUTE($X57,"’"," "),"`"," "),"–"," "),"—"," "),"-"," "),"'"," "),"/"," "),"_"," "),","," "),"."," "),"("," "),")"," "),";"," "),":"," "),"")</f>
        <v/>
      </c>
      <c r="Z57" s="581" t="str">
        <f>IF(57=57,SUBSTITUTE(SUBSTITUTE(SUBSTITUTE(SUBSTITUTE(SUBSTITUTE(SUBSTITUTE(SUBSTITUTE(SUBSTITUTE(SUBSTITUTE(SUBSTITUTE(SUBSTITUTE(SUBSTITUTE(SUBSTITUTE(SUBSTITUTE(SUBSTITUTE($Y57,"!"," "),"?"," "),"+"," "),"*"," "),"&amp;"," "),"["," "),"]"," "),"{"," "),"}"," "),"%"," "),"="," "),"\"," "),"|"," "),"&lt;"," "),"&gt;"," "),"")</f>
        <v/>
      </c>
      <c r="AA57" s="581" t="str">
        <f>IF(57=57," "&amp;TRIM(SUBSTITUTE(SUBSTITUTE(SUBSTITUTE(SUBSTITUTE(SUBSTITUTE(SUBSTITUTE($Z57,CHAR(34)," "),"  "," "),"  "," "),"  "," "),"  "," "),"  "," "))&amp;" ","")</f>
        <v xml:space="preserve">  </v>
      </c>
      <c r="AB57" s="581" t="str">
        <f>IF(57=57,IF($U57="","",SUMPRODUCT(--ISNUMBER(SEARCH(" "&amp;$CR$2:$CR$101&amp;" ",$AD57)))),"")</f>
        <v/>
      </c>
      <c r="AC57" s="581" t="str">
        <f>IF(57=57,IF($U57="","",SUMPRODUCT(--ISNUMBER(SEARCH(" "&amp;$CR$102:$CR$151&amp;" ",$AD57)))),"")</f>
        <v/>
      </c>
      <c r="AD57" s="581"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7" s="581" t="str">
        <f>IF(57=57,IF($U57="","",SUMPRODUCT(--ISNUMBER(SEARCH(" "&amp;$CR$184:$CR$205&amp;" ",$AD57)))),"")</f>
        <v/>
      </c>
      <c r="AF57" s="581" t="str">
        <f>IF(57=57,IF($U57="","",IF(SUM(AB57:AC57)+SUMPRODUCT(--ISNUMBER(SEARCH(" "&amp;$CR$2418:$CR$2420&amp;" ",$AD57)))&gt;0,"X",IF(AE57&gt;0,"?",""))),"")</f>
        <v/>
      </c>
      <c r="AG57" s="581" t="str">
        <f>IF(57=57,IF($U57="","",SUMPRODUCT(--ISNUMBER(SEARCH(" "&amp;$CR$206:$CR$305&amp;" ",$AA57)))),"")</f>
        <v/>
      </c>
      <c r="AH57" s="581" t="str">
        <f>IF(57=57,IF($U57="","",SUMPRODUCT(--ISNUMBER(SEARCH(" "&amp;$CR$306:$CR$340&amp;" ",$AA57)))),"")</f>
        <v/>
      </c>
      <c r="AI57" s="581" t="str">
        <f>IF(57=57,IF($U57="","",IF((SUM(AG57:AH57))-(0)&gt;0,"X",IF((0)-(0)&gt;0,"?",""))),"")</f>
        <v/>
      </c>
      <c r="AJ57" s="581" t="str">
        <f>IF(57=57,IF($U57="","",SUMPRODUCT(--ISNUMBER(SEARCH(" "&amp;$CR$341:$CR$398&amp;" ",$AA57)))),"")</f>
        <v/>
      </c>
      <c r="AK57" s="581" t="str">
        <f>IF(57=57,IF($U57="","",SUMPRODUCT(--ISNUMBER(SEARCH(" "&amp;$CR$399:$CR$426&amp;" ",$AL57)))+SUMPRODUCT(--ISNUMBER(SEARCH(" "&amp;$CR$2440:$CR$2453&amp;" ",$AL57)))),"")</f>
        <v/>
      </c>
      <c r="AL57" s="581" t="str">
        <f>IF(57=57,IF($U57="","",SUBSTITUTE(SUBSTITUTE(SUBSTITUTE(SUBSTITUTE(SUBSTITUTE(SUBSTITUTE(SUBSTITUTE(SUBSTITUTE(SUBSTITUTE(SUBSTITUTE(SUBSTITUTE(SUBSTITUTE(SUBSTITUTE($AA57," "&amp;$CR$433&amp;" "," ")," "&amp;$CR$431&amp;" "," ")," "&amp;$CR$2438&amp;" "," ")," "&amp;$CR$2439&amp;" "," ")," "&amp;$CR$428&amp;" "," ")," "&amp;$CR$432&amp;" "," ")," "&amp;$CR$434&amp;" "," ")," "&amp;$CR$429&amp;" "," ")," "&amp;$CR$427&amp;" "," ")," "&amp;$CR$1367&amp;" "," ")," "&amp;$CR$435&amp;" "," ")," "&amp;$CR$1366&amp;" "," ")," "&amp;$CR$430&amp;" "," ")),"")</f>
        <v/>
      </c>
      <c r="AM57" s="581" t="str">
        <f>IF(57=57,IF($U57="","",IF(AJ57&gt;0,"X",IF(AK57&gt;0,"?",""))),"")</f>
        <v/>
      </c>
      <c r="AN57" s="581" t="str">
        <f>IF(57=57,IF($U57="","",SUMPRODUCT(--ISNUMBER(SEARCH(" "&amp;$CR$436:$CR$535&amp;" ",$AX57)))),"")</f>
        <v/>
      </c>
      <c r="AO57" s="581" t="str">
        <f>IF(57=57,IF($U57="","",SUMPRODUCT(--ISNUMBER(SEARCH(" "&amp;$CR$536:$CR$635&amp;" ",$AX57)))),"")</f>
        <v/>
      </c>
      <c r="AP57" s="581" t="str">
        <f>IF(57=57,IF($U57="","",SUMPRODUCT(--ISNUMBER(SEARCH(" "&amp;$CR$636:$CR$735&amp;" ",$AX57)))),"")</f>
        <v/>
      </c>
      <c r="AQ57" s="581" t="str">
        <f>IF(57=57,IF($U57="","",SUMPRODUCT(--ISNUMBER(SEARCH(" "&amp;$CR$736:$CR$835&amp;" ",$AX57)))),"")</f>
        <v/>
      </c>
      <c r="AR57" s="581" t="str">
        <f>IF(57=57,IF($U57="","",SUMPRODUCT(--ISNUMBER(SEARCH(" "&amp;$CR$836:$CR$935&amp;" ",$AX57)))),"")</f>
        <v/>
      </c>
      <c r="AS57" s="581" t="str">
        <f>IF(57=57,IF($U57="","",SUMPRODUCT(--ISNUMBER(SEARCH(" "&amp;$CR$936:$CR$1035&amp;" ",$AX57)))),"")</f>
        <v/>
      </c>
      <c r="AT57" s="581" t="str">
        <f>IF(57=57,IF($U57="","",SUMPRODUCT(--ISNUMBER(SEARCH(" "&amp;$CR$1036:$CR$1135&amp;" ",$AX57)))),"")</f>
        <v/>
      </c>
      <c r="AU57" s="581" t="str">
        <f>IF(57=57,IF($U57="","",SUMPRODUCT(--ISNUMBER(SEARCH(" "&amp;$CR$1136:$CR$1235&amp;" ",$AX57)))),"")</f>
        <v/>
      </c>
      <c r="AV57" s="581" t="str">
        <f>IF(57=57,IF($U57="","",SUMPRODUCT(--ISNUMBER(SEARCH(" "&amp;$CR$1236:$CR$1335&amp;" ",$AX57)))),"")</f>
        <v/>
      </c>
      <c r="AW57" s="581" t="str">
        <f>IF(57=57,IF($U57="","",SUMPRODUCT(--ISNUMBER(SEARCH(" "&amp;$CR$1336:$CR$1363&amp;" ",$AX57)))),"")</f>
        <v/>
      </c>
      <c r="AX57" s="581" t="str">
        <f>IF(57=57,IF($U57="","",SUBSTITUTE(SUBSTITUTE(SUBSTITUTE(SUBSTITUTE(SUBSTITUTE(SUBSTITUTE(SUBSTITUTE(SUBSTITUTE(SUBSTITUTE($AA57," "&amp;$CR$1365&amp;" "," ")," "&amp;$CR$1364&amp;" "," ")," "&amp;$CR$1370&amp;" "," ")," "&amp;$CR$1371&amp;" "," ")," "&amp;$CR$1367&amp;" "," ")," "&amp;$CR$1369&amp;" "," ")," "&amp;$CR$1366&amp;" "," ")," "&amp;$CR$1368&amp;" "," ")," "&amp;$CR$1372&amp;" "," ")),"")</f>
        <v/>
      </c>
      <c r="AY57" s="581" t="str">
        <f>IF(57=57,IF($U57="","",SUMPRODUCT(--ISNUMBER(SEARCH(" "&amp;$CR$1373:$CR$1383&amp;" ",$AX57)))),"")</f>
        <v/>
      </c>
      <c r="AZ57" s="581" t="str">
        <f>IF(57=57,IF($U57="","",IF(SUM(AN57:AW57)+SUMPRODUCT(--ISNUMBER(SEARCH(" "&amp;$CR$2421:$CR$2422&amp;" ",$AX57)))&gt;0,"X",IF(AY57&gt;0,"?",""))),"")</f>
        <v/>
      </c>
      <c r="BA57" s="581" t="str">
        <f>IF(57=57,IF($U57="","",SUMPRODUCT(--ISNUMBER(SEARCH(" "&amp;$CR$1384:$CR$1404&amp;" ",$AA57)))),"")</f>
        <v/>
      </c>
      <c r="BB57" s="581" t="str">
        <f>IF(57=57,IF($U57="","",IF((BA57)-(0)&gt;0,"X",IF((0)-(0)&gt;0,"?",""))),"")</f>
        <v/>
      </c>
      <c r="BC57" s="581" t="str">
        <f>IF(57=57,IF($U57="","",SUMPRODUCT(--ISNUMBER(SEARCH(" "&amp;$CR$1405:$CR$1442&amp;" ",$BD57)))),"")</f>
        <v/>
      </c>
      <c r="BD57" s="581" t="str">
        <f>IF(57=57,IF($U57="","",SUBSTITUTE(SUBSTITUTE($AA57," "&amp;$CR$1443&amp;" "," ")," "&amp;$CR$1444&amp;" "," ")),"")</f>
        <v/>
      </c>
      <c r="BE57" s="581" t="str">
        <f>IF(57=57,IF($U57="","",SUMPRODUCT(--ISNUMBER(SEARCH(" "&amp;$CR$1445:$CR$1455&amp;" ",$BD57)))),"")</f>
        <v/>
      </c>
      <c r="BF57" s="581" t="str">
        <f>IF(57=57,IF($U57="","",IF(BC57&gt;0,"X",IF(BE57&gt;0,"?",""))),"")</f>
        <v/>
      </c>
      <c r="BG57" s="581" t="str">
        <f>IF(57=57,IF($U57="","",SUMPRODUCT(--ISNUMBER(SEARCH(" "&amp;$CR$1456:$CR$1555&amp;" ",$BJ57)))),"")</f>
        <v/>
      </c>
      <c r="BH57" s="581" t="str">
        <f>IF(57=57,IF($U57="","",SUMPRODUCT(--ISNUMBER(SEARCH(" "&amp;$CR$1556:$CR$1655&amp;" ",$BJ57)))),"")</f>
        <v/>
      </c>
      <c r="BI57" s="581" t="str">
        <f>IF(57=57,IF($U57="","",SUMPRODUCT(--ISNUMBER(SEARCH(" "&amp;$CR$1656:$CR$1739&amp;" ",$BJ57)))),"")</f>
        <v/>
      </c>
      <c r="BJ57" s="581"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7" s="581" t="str">
        <f>IF(57=57,IF($U57="","",SUMPRODUCT(--ISNUMBER(SEARCH(" "&amp;$CR$1790:$CR$1869&amp;" ",$BL57)))+SUMPRODUCT(--ISNUMBER(SEARCH(" "&amp;$CR$2440:$CR$2453&amp;" ",$BL57)))),"")</f>
        <v/>
      </c>
      <c r="BL57" s="581"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c>
      <c r="BM57" s="581" t="str">
        <f>IF(57=57,IF($U57="","",IF(SUM(BG57:BI57)+SUMPRODUCT(--ISNUMBER(SEARCH(" "&amp;$CR$2423:$CR$2424&amp;" ",$BJ57)))&gt;0,"X",IF(BK57&gt;0,"?",""))),"")</f>
        <v/>
      </c>
      <c r="BN57" s="581" t="str">
        <f>IF(57=57,IF($U57="","",SUMPRODUCT(--ISNUMBER(SEARCH(" "&amp;$CR$1879:$CR$1936&amp;" ",$BO57)))),"")</f>
        <v/>
      </c>
      <c r="BO57" s="581"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7" s="581" t="str">
        <f>IF(57=57,IF($U57="","",SUMPRODUCT(--ISNUMBER(SEARCH(" "&amp;$CR$1960:$CR$1976&amp;" ",$BO57)))),"")</f>
        <v/>
      </c>
      <c r="BQ57" s="581" t="str">
        <f>IF(57=57,IF($U57="","",IF(BN57&gt;0,"X",IF(BP57&gt;0,"?",""))),"")</f>
        <v/>
      </c>
      <c r="BR57" s="581" t="str">
        <f>IF(57=57,IF($U57="","",SUMPRODUCT(--ISNUMBER(SEARCH(" "&amp;$CR$1977:$CR$1990&amp;" ",$AA57)))),"")</f>
        <v/>
      </c>
      <c r="BS57" s="581" t="str">
        <f>IF(57=57,IF($U57="","",SUMPRODUCT(--ISNUMBER(SEARCH(" "&amp;$CR$1991:$CR$2005&amp;" ",$AA57)))),"")</f>
        <v/>
      </c>
      <c r="BT57" s="581" t="str">
        <f>IF(57=57,IF($U57="","",IF((BR57)-(0)&gt;0,"X",IF((BS57)-(0)&gt;0,"?",""))),"")</f>
        <v/>
      </c>
      <c r="BU57" s="581" t="str">
        <f>IF(57=57,IF($U57="","",SUMPRODUCT(--ISNUMBER(SEARCH(" "&amp;$CR$2006:$CR$2023&amp;" ",$AA57)))),"")</f>
        <v/>
      </c>
      <c r="BV57" s="581" t="str">
        <f>IF(57=57,IF($U57="","",SUMPRODUCT(--ISNUMBER(SEARCH(" "&amp;$CR$2024:$CR$2038&amp;" ",$AA57)))),"")</f>
        <v/>
      </c>
      <c r="BW57" s="581" t="str">
        <f>IF(57=57,IF($U57="","",IF((BU57)-(0)&gt;0,"X",IF((BV57)-(0)&gt;0,"?",""))),"")</f>
        <v/>
      </c>
      <c r="BX57" s="581" t="str">
        <f>IF(57=57,IF($U57="","",SUMPRODUCT(--ISNUMBER(SEARCH(" "&amp;$CR$2039:$CR$2057&amp;" ",$AA57)))),"")</f>
        <v/>
      </c>
      <c r="BY57" s="581" t="str">
        <f>IF(57=57,IF($U57="","",SUMPRODUCT(--ISNUMBER(SEARCH(" "&amp;$CR$2058:$CR$2072&amp;" ",$AA57)))),"")</f>
        <v/>
      </c>
      <c r="BZ57" s="581" t="str">
        <f>IF(57=57,IF($U57="","",IF((BX57)-(0)&gt;0,"X",IF((BY57)-(0)&gt;0,"?",""))),"")</f>
        <v/>
      </c>
      <c r="CA57" s="581" t="str">
        <f>IF(57=57,IF($U57="","",SUMPRODUCT(--ISNUMBER(SEARCH(" "&amp;$CR$2073:$CR$2093&amp;" ",$AA57)))),"")</f>
        <v/>
      </c>
      <c r="CB57" s="581" t="str">
        <f>IF(57=57,IF($U57="","",SUMPRODUCT(--ISNUMBER(SEARCH(" "&amp;$CR$2094:$CR$2133&amp;" ",SUBSTITUTE(SUBSTITUTE($AA57," "&amp;$CR$1367&amp;" "," ")," "&amp;$CR$1366&amp;" "," "))))+--ISNUMBER(SEARCH("poiré",$V57))),"")</f>
        <v/>
      </c>
      <c r="CC57" s="581" t="str">
        <f>IF(57=57,IF($U57="","",IF(OR(CA57&gt;0,ISNUMBER(SEARCH(" vinaigre de vin ",$AA57)),ISNUMBER(SEARCH(" vinaigre au vin ",$AA57))),"X",IF(CB57&gt;0,"?",""))),"")</f>
        <v/>
      </c>
      <c r="CD57" s="581" t="str">
        <f>IF(57=57,IF($U57="","",SUMPRODUCT(--ISNUMBER(SEARCH(" "&amp;$CR$2134:$CR$2146&amp;" ",$AA57)))),"")</f>
        <v/>
      </c>
      <c r="CE57" s="581" t="str">
        <f>IF(57=57,IF($U57="","",SUMPRODUCT(--ISNUMBER(SEARCH(" "&amp;$CR$2147:$CR$2152&amp;" ",$AA57)))),"")</f>
        <v/>
      </c>
      <c r="CF57" s="581" t="str">
        <f>IF(57=57,IF($U57="","",IF((CD57)-(0)&gt;0,"X",IF((CE57)-(0)&gt;0,"?",""))),"")</f>
        <v/>
      </c>
      <c r="CG57" s="581" t="str">
        <f>IF(57=57,IF($U57="","",SUMPRODUCT(--ISNUMBER(SEARCH(" "&amp;$CR$2153:$CR$2252&amp;" ",$CJ57)))),"")</f>
        <v/>
      </c>
      <c r="CH57" s="581" t="str">
        <f>IF(57=57,IF($U57="","",SUMPRODUCT(--ISNUMBER(SEARCH(" "&amp;$CR$2253:$CR$2352&amp;" ",$CJ57)))),"")</f>
        <v/>
      </c>
      <c r="CI57" s="581" t="str">
        <f>IF(57=57,IF($U57="","",SUMPRODUCT(--ISNUMBER(SEARCH(" "&amp;$CR$2353:$CR$2395&amp;" ",$CJ57)))),"")</f>
        <v/>
      </c>
      <c r="CJ57" s="581"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c>
      <c r="CK57" s="581" t="str">
        <f>IF(57=57,IF($U57="","",SUMPRODUCT(--ISNUMBER(SEARCH(" "&amp;$CR$2412:$CR$2416&amp;" ",$CJ57)))),"")</f>
        <v/>
      </c>
      <c r="CL57" s="581" t="str">
        <f>IF(57=57,IF($U57="","",IF(SUM(CG57:CI57)&gt;0,"X",IF(CK57&gt;0,"?",""))),"")</f>
        <v/>
      </c>
      <c r="CM57" s="582"/>
      <c r="CN57" s="584" t="s">
        <v>2126</v>
      </c>
      <c r="CO57" s="584" t="s">
        <v>1887</v>
      </c>
      <c r="CP57" s="584" t="s">
        <v>1888</v>
      </c>
      <c r="CQ57" s="584" t="s">
        <v>2127</v>
      </c>
      <c r="CR57" s="584" t="s">
        <v>2128</v>
      </c>
      <c r="CS57" s="584" t="s">
        <v>1890</v>
      </c>
      <c r="CT57" s="584" t="s">
        <v>1891</v>
      </c>
      <c r="CU57" s="584" t="s">
        <v>1892</v>
      </c>
      <c r="CV57" s="585" t="s">
        <v>1893</v>
      </c>
    </row>
    <row r="58" spans="1:100" ht="21.95" customHeight="1" x14ac:dyDescent="0.25">
      <c r="A58" s="597">
        <v>52</v>
      </c>
      <c r="B58" s="598"/>
      <c r="C58" s="599" t="str">
        <f t="shared" si="0"/>
        <v/>
      </c>
      <c r="D58" s="600"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601" t="str">
        <f>IF(58=58,IF($B58="","",AF58),"")</f>
        <v/>
      </c>
      <c r="F58" s="601" t="str">
        <f>IF(58=58,IF($B58="","",AI58),"")</f>
        <v/>
      </c>
      <c r="G58" s="601" t="str">
        <f>IF(58=58,IF($B58="","",AM58),"")</f>
        <v/>
      </c>
      <c r="H58" s="601" t="str">
        <f>IF(58=58,IF($B58="","",AZ58),"")</f>
        <v/>
      </c>
      <c r="I58" s="601" t="str">
        <f>IF(58=58,IF($B58="","",BB58),"")</f>
        <v/>
      </c>
      <c r="J58" s="601" t="str">
        <f>IF(58=58,IF($B58="","",BF58),"")</f>
        <v/>
      </c>
      <c r="K58" s="601" t="str">
        <f>IF(58=58,IF($B58="","",BM58),"")</f>
        <v/>
      </c>
      <c r="L58" s="601" t="str">
        <f>IF(58=58,IF($B58="","",BQ58),"")</f>
        <v/>
      </c>
      <c r="M58" s="601" t="str">
        <f>IF(58=58,IF($B58="","",BT58),"")</f>
        <v/>
      </c>
      <c r="N58" s="601" t="str">
        <f>IF(58=58,IF($B58="","",BW58),"")</f>
        <v/>
      </c>
      <c r="O58" s="601" t="str">
        <f>IF(58=58,IF($B58="","",BZ58),"")</f>
        <v/>
      </c>
      <c r="P58" s="601" t="str">
        <f>IF(58=58,IF($B58="","",CC58),"")</f>
        <v/>
      </c>
      <c r="Q58" s="601" t="str">
        <f>IF(58=58,IF($B58="","",CF58),"")</f>
        <v/>
      </c>
      <c r="R58" s="601" t="str">
        <f>IF(58=58,IF($B58="","",CL58),"")</f>
        <v/>
      </c>
      <c r="S58" s="602"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581" t="str">
        <f>IF(58=58,IF($B58="","",$B58),"")</f>
        <v/>
      </c>
      <c r="V58" s="581" t="str">
        <f>IF(58=58,LOWER(CLEAN(SUBSTITUTE(SUBSTITUTE(SUBSTITUTE(SUBSTITUTE($U58,CHAR(160)," ")," "," "),CHAR(10)," "),CHAR(13)," "))),"")</f>
        <v/>
      </c>
      <c r="W58" s="581" t="str">
        <f>IF(58=58,SUBSTITUTE(SUBSTITUTE(SUBSTITUTE(SUBSTITUTE(SUBSTITUTE(SUBSTITUTE(SUBSTITUTE(SUBSTITUTE(SUBSTITUTE(SUBSTITUTE(SUBSTITUTE(SUBSTITUTE($V58,"œ","oe"),"æ","ae"),"à","a"),"á","a"),"â","a"),"ä","a"),"ã","a"),"ç","c"),"è","e"),"é","e"),"ê","e"),"ë","e"),"")</f>
        <v/>
      </c>
      <c r="X58" s="581" t="str">
        <f>IF(58=58,SUBSTITUTE(SUBSTITUTE(SUBSTITUTE(SUBSTITUTE(SUBSTITUTE(SUBSTITUTE(SUBSTITUTE(SUBSTITUTE(SUBSTITUTE(SUBSTITUTE(SUBSTITUTE(SUBSTITUTE(SUBSTITUTE(SUBSTITUTE(SUBSTITUTE(SUBSTITUTE($W58,"ì","i"),"í","i"),"î","i"),"ï","i"),"ñ","n"),"ò","o"),"ó","o"),"ô","o"),"ö","o"),"õ","o"),"ù","u"),"ú","u"),"û","u"),"ü","u"),"ý","y"),"ÿ","y"),"")</f>
        <v/>
      </c>
      <c r="Y58" s="581" t="str">
        <f>IF(58=58,SUBSTITUTE(SUBSTITUTE(SUBSTITUTE(SUBSTITUTE(SUBSTITUTE(SUBSTITUTE(SUBSTITUTE(SUBSTITUTE(SUBSTITUTE(SUBSTITUTE(SUBSTITUTE(SUBSTITUTE(SUBSTITUTE(SUBSTITUTE($X58,"’"," "),"`"," "),"–"," "),"—"," "),"-"," "),"'"," "),"/"," "),"_"," "),","," "),"."," "),"("," "),")"," "),";"," "),":"," "),"")</f>
        <v/>
      </c>
      <c r="Z58" s="581" t="str">
        <f>IF(58=58,SUBSTITUTE(SUBSTITUTE(SUBSTITUTE(SUBSTITUTE(SUBSTITUTE(SUBSTITUTE(SUBSTITUTE(SUBSTITUTE(SUBSTITUTE(SUBSTITUTE(SUBSTITUTE(SUBSTITUTE(SUBSTITUTE(SUBSTITUTE(SUBSTITUTE($Y58,"!"," "),"?"," "),"+"," "),"*"," "),"&amp;"," "),"["," "),"]"," "),"{"," "),"}"," "),"%"," "),"="," "),"\"," "),"|"," "),"&lt;"," "),"&gt;"," "),"")</f>
        <v/>
      </c>
      <c r="AA58" s="581" t="str">
        <f>IF(58=58," "&amp;TRIM(SUBSTITUTE(SUBSTITUTE(SUBSTITUTE(SUBSTITUTE(SUBSTITUTE(SUBSTITUTE($Z58,CHAR(34)," "),"  "," "),"  "," "),"  "," "),"  "," "),"  "," "))&amp;" ","")</f>
        <v xml:space="preserve">  </v>
      </c>
      <c r="AB58" s="581" t="str">
        <f>IF(58=58,IF($U58="","",SUMPRODUCT(--ISNUMBER(SEARCH(" "&amp;$CR$2:$CR$101&amp;" ",$AD58)))),"")</f>
        <v/>
      </c>
      <c r="AC58" s="581" t="str">
        <f>IF(58=58,IF($U58="","",SUMPRODUCT(--ISNUMBER(SEARCH(" "&amp;$CR$102:$CR$151&amp;" ",$AD58)))),"")</f>
        <v/>
      </c>
      <c r="AD58" s="581"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8" s="581" t="str">
        <f>IF(58=58,IF($U58="","",SUMPRODUCT(--ISNUMBER(SEARCH(" "&amp;$CR$184:$CR$205&amp;" ",$AD58)))),"")</f>
        <v/>
      </c>
      <c r="AF58" s="581" t="str">
        <f>IF(58=58,IF($U58="","",IF(SUM(AB58:AC58)+SUMPRODUCT(--ISNUMBER(SEARCH(" "&amp;$CR$2418:$CR$2420&amp;" ",$AD58)))&gt;0,"X",IF(AE58&gt;0,"?",""))),"")</f>
        <v/>
      </c>
      <c r="AG58" s="581" t="str">
        <f>IF(58=58,IF($U58="","",SUMPRODUCT(--ISNUMBER(SEARCH(" "&amp;$CR$206:$CR$305&amp;" ",$AA58)))),"")</f>
        <v/>
      </c>
      <c r="AH58" s="581" t="str">
        <f>IF(58=58,IF($U58="","",SUMPRODUCT(--ISNUMBER(SEARCH(" "&amp;$CR$306:$CR$340&amp;" ",$AA58)))),"")</f>
        <v/>
      </c>
      <c r="AI58" s="581" t="str">
        <f>IF(58=58,IF($U58="","",IF((SUM(AG58:AH58))-(0)&gt;0,"X",IF((0)-(0)&gt;0,"?",""))),"")</f>
        <v/>
      </c>
      <c r="AJ58" s="581" t="str">
        <f>IF(58=58,IF($U58="","",SUMPRODUCT(--ISNUMBER(SEARCH(" "&amp;$CR$341:$CR$398&amp;" ",$AA58)))),"")</f>
        <v/>
      </c>
      <c r="AK58" s="581" t="str">
        <f>IF(58=58,IF($U58="","",SUMPRODUCT(--ISNUMBER(SEARCH(" "&amp;$CR$399:$CR$426&amp;" ",$AL58)))+SUMPRODUCT(--ISNUMBER(SEARCH(" "&amp;$CR$2440:$CR$2453&amp;" ",$AL58)))),"")</f>
        <v/>
      </c>
      <c r="AL58" s="581" t="str">
        <f>IF(58=58,IF($U58="","",SUBSTITUTE(SUBSTITUTE(SUBSTITUTE(SUBSTITUTE(SUBSTITUTE(SUBSTITUTE(SUBSTITUTE(SUBSTITUTE(SUBSTITUTE(SUBSTITUTE(SUBSTITUTE(SUBSTITUTE(SUBSTITUTE($AA58," "&amp;$CR$433&amp;" "," ")," "&amp;$CR$431&amp;" "," ")," "&amp;$CR$2438&amp;" "," ")," "&amp;$CR$2439&amp;" "," ")," "&amp;$CR$428&amp;" "," ")," "&amp;$CR$432&amp;" "," ")," "&amp;$CR$434&amp;" "," ")," "&amp;$CR$429&amp;" "," ")," "&amp;$CR$427&amp;" "," ")," "&amp;$CR$1367&amp;" "," ")," "&amp;$CR$435&amp;" "," ")," "&amp;$CR$1366&amp;" "," ")," "&amp;$CR$430&amp;" "," ")),"")</f>
        <v/>
      </c>
      <c r="AM58" s="581" t="str">
        <f>IF(58=58,IF($U58="","",IF(AJ58&gt;0,"X",IF(AK58&gt;0,"?",""))),"")</f>
        <v/>
      </c>
      <c r="AN58" s="581" t="str">
        <f>IF(58=58,IF($U58="","",SUMPRODUCT(--ISNUMBER(SEARCH(" "&amp;$CR$436:$CR$535&amp;" ",$AX58)))),"")</f>
        <v/>
      </c>
      <c r="AO58" s="581" t="str">
        <f>IF(58=58,IF($U58="","",SUMPRODUCT(--ISNUMBER(SEARCH(" "&amp;$CR$536:$CR$635&amp;" ",$AX58)))),"")</f>
        <v/>
      </c>
      <c r="AP58" s="581" t="str">
        <f>IF(58=58,IF($U58="","",SUMPRODUCT(--ISNUMBER(SEARCH(" "&amp;$CR$636:$CR$735&amp;" ",$AX58)))),"")</f>
        <v/>
      </c>
      <c r="AQ58" s="581" t="str">
        <f>IF(58=58,IF($U58="","",SUMPRODUCT(--ISNUMBER(SEARCH(" "&amp;$CR$736:$CR$835&amp;" ",$AX58)))),"")</f>
        <v/>
      </c>
      <c r="AR58" s="581" t="str">
        <f>IF(58=58,IF($U58="","",SUMPRODUCT(--ISNUMBER(SEARCH(" "&amp;$CR$836:$CR$935&amp;" ",$AX58)))),"")</f>
        <v/>
      </c>
      <c r="AS58" s="581" t="str">
        <f>IF(58=58,IF($U58="","",SUMPRODUCT(--ISNUMBER(SEARCH(" "&amp;$CR$936:$CR$1035&amp;" ",$AX58)))),"")</f>
        <v/>
      </c>
      <c r="AT58" s="581" t="str">
        <f>IF(58=58,IF($U58="","",SUMPRODUCT(--ISNUMBER(SEARCH(" "&amp;$CR$1036:$CR$1135&amp;" ",$AX58)))),"")</f>
        <v/>
      </c>
      <c r="AU58" s="581" t="str">
        <f>IF(58=58,IF($U58="","",SUMPRODUCT(--ISNUMBER(SEARCH(" "&amp;$CR$1136:$CR$1235&amp;" ",$AX58)))),"")</f>
        <v/>
      </c>
      <c r="AV58" s="581" t="str">
        <f>IF(58=58,IF($U58="","",SUMPRODUCT(--ISNUMBER(SEARCH(" "&amp;$CR$1236:$CR$1335&amp;" ",$AX58)))),"")</f>
        <v/>
      </c>
      <c r="AW58" s="581" t="str">
        <f>IF(58=58,IF($U58="","",SUMPRODUCT(--ISNUMBER(SEARCH(" "&amp;$CR$1336:$CR$1363&amp;" ",$AX58)))),"")</f>
        <v/>
      </c>
      <c r="AX58" s="581" t="str">
        <f>IF(58=58,IF($U58="","",SUBSTITUTE(SUBSTITUTE(SUBSTITUTE(SUBSTITUTE(SUBSTITUTE(SUBSTITUTE(SUBSTITUTE(SUBSTITUTE(SUBSTITUTE($AA58," "&amp;$CR$1365&amp;" "," ")," "&amp;$CR$1364&amp;" "," ")," "&amp;$CR$1370&amp;" "," ")," "&amp;$CR$1371&amp;" "," ")," "&amp;$CR$1367&amp;" "," ")," "&amp;$CR$1369&amp;" "," ")," "&amp;$CR$1366&amp;" "," ")," "&amp;$CR$1368&amp;" "," ")," "&amp;$CR$1372&amp;" "," ")),"")</f>
        <v/>
      </c>
      <c r="AY58" s="581" t="str">
        <f>IF(58=58,IF($U58="","",SUMPRODUCT(--ISNUMBER(SEARCH(" "&amp;$CR$1373:$CR$1383&amp;" ",$AX58)))),"")</f>
        <v/>
      </c>
      <c r="AZ58" s="581" t="str">
        <f>IF(58=58,IF($U58="","",IF(SUM(AN58:AW58)+SUMPRODUCT(--ISNUMBER(SEARCH(" "&amp;$CR$2421:$CR$2422&amp;" ",$AX58)))&gt;0,"X",IF(AY58&gt;0,"?",""))),"")</f>
        <v/>
      </c>
      <c r="BA58" s="581" t="str">
        <f>IF(58=58,IF($U58="","",SUMPRODUCT(--ISNUMBER(SEARCH(" "&amp;$CR$1384:$CR$1404&amp;" ",$AA58)))),"")</f>
        <v/>
      </c>
      <c r="BB58" s="581" t="str">
        <f>IF(58=58,IF($U58="","",IF((BA58)-(0)&gt;0,"X",IF((0)-(0)&gt;0,"?",""))),"")</f>
        <v/>
      </c>
      <c r="BC58" s="581" t="str">
        <f>IF(58=58,IF($U58="","",SUMPRODUCT(--ISNUMBER(SEARCH(" "&amp;$CR$1405:$CR$1442&amp;" ",$BD58)))),"")</f>
        <v/>
      </c>
      <c r="BD58" s="581" t="str">
        <f>IF(58=58,IF($U58="","",SUBSTITUTE(SUBSTITUTE($AA58," "&amp;$CR$1443&amp;" "," ")," "&amp;$CR$1444&amp;" "," ")),"")</f>
        <v/>
      </c>
      <c r="BE58" s="581" t="str">
        <f>IF(58=58,IF($U58="","",SUMPRODUCT(--ISNUMBER(SEARCH(" "&amp;$CR$1445:$CR$1455&amp;" ",$BD58)))),"")</f>
        <v/>
      </c>
      <c r="BF58" s="581" t="str">
        <f>IF(58=58,IF($U58="","",IF(BC58&gt;0,"X",IF(BE58&gt;0,"?",""))),"")</f>
        <v/>
      </c>
      <c r="BG58" s="581" t="str">
        <f>IF(58=58,IF($U58="","",SUMPRODUCT(--ISNUMBER(SEARCH(" "&amp;$CR$1456:$CR$1555&amp;" ",$BJ58)))),"")</f>
        <v/>
      </c>
      <c r="BH58" s="581" t="str">
        <f>IF(58=58,IF($U58="","",SUMPRODUCT(--ISNUMBER(SEARCH(" "&amp;$CR$1556:$CR$1655&amp;" ",$BJ58)))),"")</f>
        <v/>
      </c>
      <c r="BI58" s="581" t="str">
        <f>IF(58=58,IF($U58="","",SUMPRODUCT(--ISNUMBER(SEARCH(" "&amp;$CR$1656:$CR$1739&amp;" ",$BJ58)))),"")</f>
        <v/>
      </c>
      <c r="BJ58" s="581"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8" s="581" t="str">
        <f>IF(58=58,IF($U58="","",SUMPRODUCT(--ISNUMBER(SEARCH(" "&amp;$CR$1790:$CR$1869&amp;" ",$BL58)))+SUMPRODUCT(--ISNUMBER(SEARCH(" "&amp;$CR$2440:$CR$2453&amp;" ",$BL58)))),"")</f>
        <v/>
      </c>
      <c r="BL58" s="581"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c>
      <c r="BM58" s="581" t="str">
        <f>IF(58=58,IF($U58="","",IF(SUM(BG58:BI58)+SUMPRODUCT(--ISNUMBER(SEARCH(" "&amp;$CR$2423:$CR$2424&amp;" ",$BJ58)))&gt;0,"X",IF(BK58&gt;0,"?",""))),"")</f>
        <v/>
      </c>
      <c r="BN58" s="581" t="str">
        <f>IF(58=58,IF($U58="","",SUMPRODUCT(--ISNUMBER(SEARCH(" "&amp;$CR$1879:$CR$1936&amp;" ",$BO58)))),"")</f>
        <v/>
      </c>
      <c r="BO58" s="581"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8" s="581" t="str">
        <f>IF(58=58,IF($U58="","",SUMPRODUCT(--ISNUMBER(SEARCH(" "&amp;$CR$1960:$CR$1976&amp;" ",$BO58)))),"")</f>
        <v/>
      </c>
      <c r="BQ58" s="581" t="str">
        <f>IF(58=58,IF($U58="","",IF(BN58&gt;0,"X",IF(BP58&gt;0,"?",""))),"")</f>
        <v/>
      </c>
      <c r="BR58" s="581" t="str">
        <f>IF(58=58,IF($U58="","",SUMPRODUCT(--ISNUMBER(SEARCH(" "&amp;$CR$1977:$CR$1990&amp;" ",$AA58)))),"")</f>
        <v/>
      </c>
      <c r="BS58" s="581" t="str">
        <f>IF(58=58,IF($U58="","",SUMPRODUCT(--ISNUMBER(SEARCH(" "&amp;$CR$1991:$CR$2005&amp;" ",$AA58)))),"")</f>
        <v/>
      </c>
      <c r="BT58" s="581" t="str">
        <f>IF(58=58,IF($U58="","",IF((BR58)-(0)&gt;0,"X",IF((BS58)-(0)&gt;0,"?",""))),"")</f>
        <v/>
      </c>
      <c r="BU58" s="581" t="str">
        <f>IF(58=58,IF($U58="","",SUMPRODUCT(--ISNUMBER(SEARCH(" "&amp;$CR$2006:$CR$2023&amp;" ",$AA58)))),"")</f>
        <v/>
      </c>
      <c r="BV58" s="581" t="str">
        <f>IF(58=58,IF($U58="","",SUMPRODUCT(--ISNUMBER(SEARCH(" "&amp;$CR$2024:$CR$2038&amp;" ",$AA58)))),"")</f>
        <v/>
      </c>
      <c r="BW58" s="581" t="str">
        <f>IF(58=58,IF($U58="","",IF((BU58)-(0)&gt;0,"X",IF((BV58)-(0)&gt;0,"?",""))),"")</f>
        <v/>
      </c>
      <c r="BX58" s="581" t="str">
        <f>IF(58=58,IF($U58="","",SUMPRODUCT(--ISNUMBER(SEARCH(" "&amp;$CR$2039:$CR$2057&amp;" ",$AA58)))),"")</f>
        <v/>
      </c>
      <c r="BY58" s="581" t="str">
        <f>IF(58=58,IF($U58="","",SUMPRODUCT(--ISNUMBER(SEARCH(" "&amp;$CR$2058:$CR$2072&amp;" ",$AA58)))),"")</f>
        <v/>
      </c>
      <c r="BZ58" s="581" t="str">
        <f>IF(58=58,IF($U58="","",IF((BX58)-(0)&gt;0,"X",IF((BY58)-(0)&gt;0,"?",""))),"")</f>
        <v/>
      </c>
      <c r="CA58" s="581" t="str">
        <f>IF(58=58,IF($U58="","",SUMPRODUCT(--ISNUMBER(SEARCH(" "&amp;$CR$2073:$CR$2093&amp;" ",$AA58)))),"")</f>
        <v/>
      </c>
      <c r="CB58" s="581" t="str">
        <f>IF(58=58,IF($U58="","",SUMPRODUCT(--ISNUMBER(SEARCH(" "&amp;$CR$2094:$CR$2133&amp;" ",SUBSTITUTE(SUBSTITUTE($AA58," "&amp;$CR$1367&amp;" "," ")," "&amp;$CR$1366&amp;" "," "))))+--ISNUMBER(SEARCH("poiré",$V58))),"")</f>
        <v/>
      </c>
      <c r="CC58" s="581" t="str">
        <f>IF(58=58,IF($U58="","",IF(OR(CA58&gt;0,ISNUMBER(SEARCH(" vinaigre de vin ",$AA58)),ISNUMBER(SEARCH(" vinaigre au vin ",$AA58))),"X",IF(CB58&gt;0,"?",""))),"")</f>
        <v/>
      </c>
      <c r="CD58" s="581" t="str">
        <f>IF(58=58,IF($U58="","",SUMPRODUCT(--ISNUMBER(SEARCH(" "&amp;$CR$2134:$CR$2146&amp;" ",$AA58)))),"")</f>
        <v/>
      </c>
      <c r="CE58" s="581" t="str">
        <f>IF(58=58,IF($U58="","",SUMPRODUCT(--ISNUMBER(SEARCH(" "&amp;$CR$2147:$CR$2152&amp;" ",$AA58)))),"")</f>
        <v/>
      </c>
      <c r="CF58" s="581" t="str">
        <f>IF(58=58,IF($U58="","",IF((CD58)-(0)&gt;0,"X",IF((CE58)-(0)&gt;0,"?",""))),"")</f>
        <v/>
      </c>
      <c r="CG58" s="581" t="str">
        <f>IF(58=58,IF($U58="","",SUMPRODUCT(--ISNUMBER(SEARCH(" "&amp;$CR$2153:$CR$2252&amp;" ",$CJ58)))),"")</f>
        <v/>
      </c>
      <c r="CH58" s="581" t="str">
        <f>IF(58=58,IF($U58="","",SUMPRODUCT(--ISNUMBER(SEARCH(" "&amp;$CR$2253:$CR$2352&amp;" ",$CJ58)))),"")</f>
        <v/>
      </c>
      <c r="CI58" s="581" t="str">
        <f>IF(58=58,IF($U58="","",SUMPRODUCT(--ISNUMBER(SEARCH(" "&amp;$CR$2353:$CR$2395&amp;" ",$CJ58)))),"")</f>
        <v/>
      </c>
      <c r="CJ58" s="581"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c>
      <c r="CK58" s="581" t="str">
        <f>IF(58=58,IF($U58="","",SUMPRODUCT(--ISNUMBER(SEARCH(" "&amp;$CR$2412:$CR$2416&amp;" ",$CJ58)))),"")</f>
        <v/>
      </c>
      <c r="CL58" s="581" t="str">
        <f>IF(58=58,IF($U58="","",IF(SUM(CG58:CI58)&gt;0,"X",IF(CK58&gt;0,"?",""))),"")</f>
        <v/>
      </c>
      <c r="CM58" s="582"/>
      <c r="CN58" s="584" t="s">
        <v>2129</v>
      </c>
      <c r="CO58" s="584" t="s">
        <v>1887</v>
      </c>
      <c r="CP58" s="584" t="s">
        <v>1888</v>
      </c>
      <c r="CQ58" s="584" t="s">
        <v>2130</v>
      </c>
      <c r="CR58" s="584" t="s">
        <v>2130</v>
      </c>
      <c r="CS58" s="584" t="s">
        <v>1890</v>
      </c>
      <c r="CT58" s="584" t="s">
        <v>1891</v>
      </c>
      <c r="CU58" s="584" t="s">
        <v>1892</v>
      </c>
      <c r="CV58" s="585" t="s">
        <v>1893</v>
      </c>
    </row>
    <row r="59" spans="1:100" ht="21.95" customHeight="1" x14ac:dyDescent="0.25">
      <c r="A59" s="597">
        <v>53</v>
      </c>
      <c r="B59" s="598"/>
      <c r="C59" s="599" t="str">
        <f t="shared" si="0"/>
        <v/>
      </c>
      <c r="D59" s="600"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
      </c>
      <c r="E59" s="601" t="str">
        <f>IF(59=59,IF($B59="","",AF59),"")</f>
        <v/>
      </c>
      <c r="F59" s="601" t="str">
        <f>IF(59=59,IF($B59="","",AI59),"")</f>
        <v/>
      </c>
      <c r="G59" s="601" t="str">
        <f>IF(59=59,IF($B59="","",AM59),"")</f>
        <v/>
      </c>
      <c r="H59" s="601" t="str">
        <f>IF(59=59,IF($B59="","",AZ59),"")</f>
        <v/>
      </c>
      <c r="I59" s="601" t="str">
        <f>IF(59=59,IF($B59="","",BB59),"")</f>
        <v/>
      </c>
      <c r="J59" s="601" t="str">
        <f>IF(59=59,IF($B59="","",BF59),"")</f>
        <v/>
      </c>
      <c r="K59" s="601" t="str">
        <f>IF(59=59,IF($B59="","",BM59),"")</f>
        <v/>
      </c>
      <c r="L59" s="601" t="str">
        <f>IF(59=59,IF($B59="","",BQ59),"")</f>
        <v/>
      </c>
      <c r="M59" s="601" t="str">
        <f>IF(59=59,IF($B59="","",BT59),"")</f>
        <v/>
      </c>
      <c r="N59" s="601" t="str">
        <f>IF(59=59,IF($B59="","",BW59),"")</f>
        <v/>
      </c>
      <c r="O59" s="601" t="str">
        <f>IF(59=59,IF($B59="","",BZ59),"")</f>
        <v/>
      </c>
      <c r="P59" s="601" t="str">
        <f>IF(59=59,IF($B59="","",CC59),"")</f>
        <v/>
      </c>
      <c r="Q59" s="601" t="str">
        <f>IF(59=59,IF($B59="","",CF59),"")</f>
        <v/>
      </c>
      <c r="R59" s="601" t="str">
        <f>IF(59=59,IF($B59="","",CL59),"")</f>
        <v/>
      </c>
      <c r="S59" s="602"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581" t="str">
        <f>IF(59=59,IF($B59="","",$B59),"")</f>
        <v/>
      </c>
      <c r="V59" s="581" t="str">
        <f>IF(59=59,LOWER(CLEAN(SUBSTITUTE(SUBSTITUTE(SUBSTITUTE(SUBSTITUTE($U59,CHAR(160)," ")," "," "),CHAR(10)," "),CHAR(13)," "))),"")</f>
        <v/>
      </c>
      <c r="W59" s="581" t="str">
        <f>IF(59=59,SUBSTITUTE(SUBSTITUTE(SUBSTITUTE(SUBSTITUTE(SUBSTITUTE(SUBSTITUTE(SUBSTITUTE(SUBSTITUTE(SUBSTITUTE(SUBSTITUTE(SUBSTITUTE(SUBSTITUTE($V59,"œ","oe"),"æ","ae"),"à","a"),"á","a"),"â","a"),"ä","a"),"ã","a"),"ç","c"),"è","e"),"é","e"),"ê","e"),"ë","e"),"")</f>
        <v/>
      </c>
      <c r="X59" s="581" t="str">
        <f>IF(59=59,SUBSTITUTE(SUBSTITUTE(SUBSTITUTE(SUBSTITUTE(SUBSTITUTE(SUBSTITUTE(SUBSTITUTE(SUBSTITUTE(SUBSTITUTE(SUBSTITUTE(SUBSTITUTE(SUBSTITUTE(SUBSTITUTE(SUBSTITUTE(SUBSTITUTE(SUBSTITUTE($W59,"ì","i"),"í","i"),"î","i"),"ï","i"),"ñ","n"),"ò","o"),"ó","o"),"ô","o"),"ö","o"),"õ","o"),"ù","u"),"ú","u"),"û","u"),"ü","u"),"ý","y"),"ÿ","y"),"")</f>
        <v/>
      </c>
      <c r="Y59" s="581" t="str">
        <f>IF(59=59,SUBSTITUTE(SUBSTITUTE(SUBSTITUTE(SUBSTITUTE(SUBSTITUTE(SUBSTITUTE(SUBSTITUTE(SUBSTITUTE(SUBSTITUTE(SUBSTITUTE(SUBSTITUTE(SUBSTITUTE(SUBSTITUTE(SUBSTITUTE($X59,"’"," "),"`"," "),"–"," "),"—"," "),"-"," "),"'"," "),"/"," "),"_"," "),","," "),"."," "),"("," "),")"," "),";"," "),":"," "),"")</f>
        <v/>
      </c>
      <c r="Z59" s="581" t="str">
        <f>IF(59=59,SUBSTITUTE(SUBSTITUTE(SUBSTITUTE(SUBSTITUTE(SUBSTITUTE(SUBSTITUTE(SUBSTITUTE(SUBSTITUTE(SUBSTITUTE(SUBSTITUTE(SUBSTITUTE(SUBSTITUTE(SUBSTITUTE(SUBSTITUTE(SUBSTITUTE($Y59,"!"," "),"?"," "),"+"," "),"*"," "),"&amp;"," "),"["," "),"]"," "),"{"," "),"}"," "),"%"," "),"="," "),"\"," "),"|"," "),"&lt;"," "),"&gt;"," "),"")</f>
        <v/>
      </c>
      <c r="AA59" s="581" t="str">
        <f>IF(59=59," "&amp;TRIM(SUBSTITUTE(SUBSTITUTE(SUBSTITUTE(SUBSTITUTE(SUBSTITUTE(SUBSTITUTE($Z59,CHAR(34)," "),"  "," "),"  "," "),"  "," "),"  "," "),"  "," "))&amp;" ","")</f>
        <v xml:space="preserve">  </v>
      </c>
      <c r="AB59" s="581" t="str">
        <f>IF(59=59,IF($U59="","",SUMPRODUCT(--ISNUMBER(SEARCH(" "&amp;$CR$2:$CR$101&amp;" ",$AD59)))),"")</f>
        <v/>
      </c>
      <c r="AC59" s="581" t="str">
        <f>IF(59=59,IF($U59="","",SUMPRODUCT(--ISNUMBER(SEARCH(" "&amp;$CR$102:$CR$151&amp;" ",$AD59)))),"")</f>
        <v/>
      </c>
      <c r="AD59" s="581"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59" s="581" t="str">
        <f>IF(59=59,IF($U59="","",SUMPRODUCT(--ISNUMBER(SEARCH(" "&amp;$CR$184:$CR$205&amp;" ",$AD59)))),"")</f>
        <v/>
      </c>
      <c r="AF59" s="581" t="str">
        <f>IF(59=59,IF($U59="","",IF(SUM(AB59:AC59)+SUMPRODUCT(--ISNUMBER(SEARCH(" "&amp;$CR$2418:$CR$2420&amp;" ",$AD59)))&gt;0,"X",IF(AE59&gt;0,"?",""))),"")</f>
        <v/>
      </c>
      <c r="AG59" s="581" t="str">
        <f>IF(59=59,IF($U59="","",SUMPRODUCT(--ISNUMBER(SEARCH(" "&amp;$CR$206:$CR$305&amp;" ",$AA59)))),"")</f>
        <v/>
      </c>
      <c r="AH59" s="581" t="str">
        <f>IF(59=59,IF($U59="","",SUMPRODUCT(--ISNUMBER(SEARCH(" "&amp;$CR$306:$CR$340&amp;" ",$AA59)))),"")</f>
        <v/>
      </c>
      <c r="AI59" s="581" t="str">
        <f>IF(59=59,IF($U59="","",IF((SUM(AG59:AH59))-(0)&gt;0,"X",IF((0)-(0)&gt;0,"?",""))),"")</f>
        <v/>
      </c>
      <c r="AJ59" s="581" t="str">
        <f>IF(59=59,IF($U59="","",SUMPRODUCT(--ISNUMBER(SEARCH(" "&amp;$CR$341:$CR$398&amp;" ",$AA59)))),"")</f>
        <v/>
      </c>
      <c r="AK59" s="581" t="str">
        <f>IF(59=59,IF($U59="","",SUMPRODUCT(--ISNUMBER(SEARCH(" "&amp;$CR$399:$CR$426&amp;" ",$AL59)))+SUMPRODUCT(--ISNUMBER(SEARCH(" "&amp;$CR$2440:$CR$2453&amp;" ",$AL59)))),"")</f>
        <v/>
      </c>
      <c r="AL59" s="581" t="str">
        <f>IF(59=59,IF($U59="","",SUBSTITUTE(SUBSTITUTE(SUBSTITUTE(SUBSTITUTE(SUBSTITUTE(SUBSTITUTE(SUBSTITUTE(SUBSTITUTE(SUBSTITUTE(SUBSTITUTE(SUBSTITUTE(SUBSTITUTE(SUBSTITUTE($AA59," "&amp;$CR$433&amp;" "," ")," "&amp;$CR$431&amp;" "," ")," "&amp;$CR$2438&amp;" "," ")," "&amp;$CR$2439&amp;" "," ")," "&amp;$CR$428&amp;" "," ")," "&amp;$CR$432&amp;" "," ")," "&amp;$CR$434&amp;" "," ")," "&amp;$CR$429&amp;" "," ")," "&amp;$CR$427&amp;" "," ")," "&amp;$CR$1367&amp;" "," ")," "&amp;$CR$435&amp;" "," ")," "&amp;$CR$1366&amp;" "," ")," "&amp;$CR$430&amp;" "," ")),"")</f>
        <v/>
      </c>
      <c r="AM59" s="581" t="str">
        <f>IF(59=59,IF($U59="","",IF(AJ59&gt;0,"X",IF(AK59&gt;0,"?",""))),"")</f>
        <v/>
      </c>
      <c r="AN59" s="581" t="str">
        <f>IF(59=59,IF($U59="","",SUMPRODUCT(--ISNUMBER(SEARCH(" "&amp;$CR$436:$CR$535&amp;" ",$AX59)))),"")</f>
        <v/>
      </c>
      <c r="AO59" s="581" t="str">
        <f>IF(59=59,IF($U59="","",SUMPRODUCT(--ISNUMBER(SEARCH(" "&amp;$CR$536:$CR$635&amp;" ",$AX59)))),"")</f>
        <v/>
      </c>
      <c r="AP59" s="581" t="str">
        <f>IF(59=59,IF($U59="","",SUMPRODUCT(--ISNUMBER(SEARCH(" "&amp;$CR$636:$CR$735&amp;" ",$AX59)))),"")</f>
        <v/>
      </c>
      <c r="AQ59" s="581" t="str">
        <f>IF(59=59,IF($U59="","",SUMPRODUCT(--ISNUMBER(SEARCH(" "&amp;$CR$736:$CR$835&amp;" ",$AX59)))),"")</f>
        <v/>
      </c>
      <c r="AR59" s="581" t="str">
        <f>IF(59=59,IF($U59="","",SUMPRODUCT(--ISNUMBER(SEARCH(" "&amp;$CR$836:$CR$935&amp;" ",$AX59)))),"")</f>
        <v/>
      </c>
      <c r="AS59" s="581" t="str">
        <f>IF(59=59,IF($U59="","",SUMPRODUCT(--ISNUMBER(SEARCH(" "&amp;$CR$936:$CR$1035&amp;" ",$AX59)))),"")</f>
        <v/>
      </c>
      <c r="AT59" s="581" t="str">
        <f>IF(59=59,IF($U59="","",SUMPRODUCT(--ISNUMBER(SEARCH(" "&amp;$CR$1036:$CR$1135&amp;" ",$AX59)))),"")</f>
        <v/>
      </c>
      <c r="AU59" s="581" t="str">
        <f>IF(59=59,IF($U59="","",SUMPRODUCT(--ISNUMBER(SEARCH(" "&amp;$CR$1136:$CR$1235&amp;" ",$AX59)))),"")</f>
        <v/>
      </c>
      <c r="AV59" s="581" t="str">
        <f>IF(59=59,IF($U59="","",SUMPRODUCT(--ISNUMBER(SEARCH(" "&amp;$CR$1236:$CR$1335&amp;" ",$AX59)))),"")</f>
        <v/>
      </c>
      <c r="AW59" s="581" t="str">
        <f>IF(59=59,IF($U59="","",SUMPRODUCT(--ISNUMBER(SEARCH(" "&amp;$CR$1336:$CR$1363&amp;" ",$AX59)))),"")</f>
        <v/>
      </c>
      <c r="AX59" s="581" t="str">
        <f>IF(59=59,IF($U59="","",SUBSTITUTE(SUBSTITUTE(SUBSTITUTE(SUBSTITUTE(SUBSTITUTE(SUBSTITUTE(SUBSTITUTE(SUBSTITUTE(SUBSTITUTE($AA59," "&amp;$CR$1365&amp;" "," ")," "&amp;$CR$1364&amp;" "," ")," "&amp;$CR$1370&amp;" "," ")," "&amp;$CR$1371&amp;" "," ")," "&amp;$CR$1367&amp;" "," ")," "&amp;$CR$1369&amp;" "," ")," "&amp;$CR$1366&amp;" "," ")," "&amp;$CR$1368&amp;" "," ")," "&amp;$CR$1372&amp;" "," ")),"")</f>
        <v/>
      </c>
      <c r="AY59" s="581" t="str">
        <f>IF(59=59,IF($U59="","",SUMPRODUCT(--ISNUMBER(SEARCH(" "&amp;$CR$1373:$CR$1383&amp;" ",$AX59)))),"")</f>
        <v/>
      </c>
      <c r="AZ59" s="581" t="str">
        <f>IF(59=59,IF($U59="","",IF(SUM(AN59:AW59)+SUMPRODUCT(--ISNUMBER(SEARCH(" "&amp;$CR$2421:$CR$2422&amp;" ",$AX59)))&gt;0,"X",IF(AY59&gt;0,"?",""))),"")</f>
        <v/>
      </c>
      <c r="BA59" s="581" t="str">
        <f>IF(59=59,IF($U59="","",SUMPRODUCT(--ISNUMBER(SEARCH(" "&amp;$CR$1384:$CR$1404&amp;" ",$AA59)))),"")</f>
        <v/>
      </c>
      <c r="BB59" s="581" t="str">
        <f>IF(59=59,IF($U59="","",IF((BA59)-(0)&gt;0,"X",IF((0)-(0)&gt;0,"?",""))),"")</f>
        <v/>
      </c>
      <c r="BC59" s="581" t="str">
        <f>IF(59=59,IF($U59="","",SUMPRODUCT(--ISNUMBER(SEARCH(" "&amp;$CR$1405:$CR$1442&amp;" ",$BD59)))),"")</f>
        <v/>
      </c>
      <c r="BD59" s="581" t="str">
        <f>IF(59=59,IF($U59="","",SUBSTITUTE(SUBSTITUTE($AA59," "&amp;$CR$1443&amp;" "," ")," "&amp;$CR$1444&amp;" "," ")),"")</f>
        <v/>
      </c>
      <c r="BE59" s="581" t="str">
        <f>IF(59=59,IF($U59="","",SUMPRODUCT(--ISNUMBER(SEARCH(" "&amp;$CR$1445:$CR$1455&amp;" ",$BD59)))),"")</f>
        <v/>
      </c>
      <c r="BF59" s="581" t="str">
        <f>IF(59=59,IF($U59="","",IF(BC59&gt;0,"X",IF(BE59&gt;0,"?",""))),"")</f>
        <v/>
      </c>
      <c r="BG59" s="581" t="str">
        <f>IF(59=59,IF($U59="","",SUMPRODUCT(--ISNUMBER(SEARCH(" "&amp;$CR$1456:$CR$1555&amp;" ",$BJ59)))),"")</f>
        <v/>
      </c>
      <c r="BH59" s="581" t="str">
        <f>IF(59=59,IF($U59="","",SUMPRODUCT(--ISNUMBER(SEARCH(" "&amp;$CR$1556:$CR$1655&amp;" ",$BJ59)))),"")</f>
        <v/>
      </c>
      <c r="BI59" s="581" t="str">
        <f>IF(59=59,IF($U59="","",SUMPRODUCT(--ISNUMBER(SEARCH(" "&amp;$CR$1656:$CR$1739&amp;" ",$BJ59)))),"")</f>
        <v/>
      </c>
      <c r="BJ59" s="581"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59" s="581" t="str">
        <f>IF(59=59,IF($U59="","",SUMPRODUCT(--ISNUMBER(SEARCH(" "&amp;$CR$1790:$CR$1869&amp;" ",$BL59)))+SUMPRODUCT(--ISNUMBER(SEARCH(" "&amp;$CR$2440:$CR$2453&amp;" ",$BL59)))),"")</f>
        <v/>
      </c>
      <c r="BL59" s="581"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c>
      <c r="BM59" s="581" t="str">
        <f>IF(59=59,IF($U59="","",IF(SUM(BG59:BI59)+SUMPRODUCT(--ISNUMBER(SEARCH(" "&amp;$CR$2423:$CR$2424&amp;" ",$BJ59)))&gt;0,"X",IF(BK59&gt;0,"?",""))),"")</f>
        <v/>
      </c>
      <c r="BN59" s="581" t="str">
        <f>IF(59=59,IF($U59="","",SUMPRODUCT(--ISNUMBER(SEARCH(" "&amp;$CR$1879:$CR$1936&amp;" ",$BO59)))),"")</f>
        <v/>
      </c>
      <c r="BO59" s="581"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59" s="581" t="str">
        <f>IF(59=59,IF($U59="","",SUMPRODUCT(--ISNUMBER(SEARCH(" "&amp;$CR$1960:$CR$1976&amp;" ",$BO59)))),"")</f>
        <v/>
      </c>
      <c r="BQ59" s="581" t="str">
        <f>IF(59=59,IF($U59="","",IF(BN59&gt;0,"X",IF(BP59&gt;0,"?",""))),"")</f>
        <v/>
      </c>
      <c r="BR59" s="581" t="str">
        <f>IF(59=59,IF($U59="","",SUMPRODUCT(--ISNUMBER(SEARCH(" "&amp;$CR$1977:$CR$1990&amp;" ",$AA59)))),"")</f>
        <v/>
      </c>
      <c r="BS59" s="581" t="str">
        <f>IF(59=59,IF($U59="","",SUMPRODUCT(--ISNUMBER(SEARCH(" "&amp;$CR$1991:$CR$2005&amp;" ",$AA59)))),"")</f>
        <v/>
      </c>
      <c r="BT59" s="581" t="str">
        <f>IF(59=59,IF($U59="","",IF((BR59)-(0)&gt;0,"X",IF((BS59)-(0)&gt;0,"?",""))),"")</f>
        <v/>
      </c>
      <c r="BU59" s="581" t="str">
        <f>IF(59=59,IF($U59="","",SUMPRODUCT(--ISNUMBER(SEARCH(" "&amp;$CR$2006:$CR$2023&amp;" ",$AA59)))),"")</f>
        <v/>
      </c>
      <c r="BV59" s="581" t="str">
        <f>IF(59=59,IF($U59="","",SUMPRODUCT(--ISNUMBER(SEARCH(" "&amp;$CR$2024:$CR$2038&amp;" ",$AA59)))),"")</f>
        <v/>
      </c>
      <c r="BW59" s="581" t="str">
        <f>IF(59=59,IF($U59="","",IF((BU59)-(0)&gt;0,"X",IF((BV59)-(0)&gt;0,"?",""))),"")</f>
        <v/>
      </c>
      <c r="BX59" s="581" t="str">
        <f>IF(59=59,IF($U59="","",SUMPRODUCT(--ISNUMBER(SEARCH(" "&amp;$CR$2039:$CR$2057&amp;" ",$AA59)))),"")</f>
        <v/>
      </c>
      <c r="BY59" s="581" t="str">
        <f>IF(59=59,IF($U59="","",SUMPRODUCT(--ISNUMBER(SEARCH(" "&amp;$CR$2058:$CR$2072&amp;" ",$AA59)))),"")</f>
        <v/>
      </c>
      <c r="BZ59" s="581" t="str">
        <f>IF(59=59,IF($U59="","",IF((BX59)-(0)&gt;0,"X",IF((BY59)-(0)&gt;0,"?",""))),"")</f>
        <v/>
      </c>
      <c r="CA59" s="581" t="str">
        <f>IF(59=59,IF($U59="","",SUMPRODUCT(--ISNUMBER(SEARCH(" "&amp;$CR$2073:$CR$2093&amp;" ",$AA59)))),"")</f>
        <v/>
      </c>
      <c r="CB59" s="581" t="str">
        <f>IF(59=59,IF($U59="","",SUMPRODUCT(--ISNUMBER(SEARCH(" "&amp;$CR$2094:$CR$2133&amp;" ",SUBSTITUTE(SUBSTITUTE($AA59," "&amp;$CR$1367&amp;" "," ")," "&amp;$CR$1366&amp;" "," "))))+--ISNUMBER(SEARCH("poiré",$V59))),"")</f>
        <v/>
      </c>
      <c r="CC59" s="581" t="str">
        <f>IF(59=59,IF($U59="","",IF(OR(CA59&gt;0,ISNUMBER(SEARCH(" vinaigre de vin ",$AA59)),ISNUMBER(SEARCH(" vinaigre au vin ",$AA59))),"X",IF(CB59&gt;0,"?",""))),"")</f>
        <v/>
      </c>
      <c r="CD59" s="581" t="str">
        <f>IF(59=59,IF($U59="","",SUMPRODUCT(--ISNUMBER(SEARCH(" "&amp;$CR$2134:$CR$2146&amp;" ",$AA59)))),"")</f>
        <v/>
      </c>
      <c r="CE59" s="581" t="str">
        <f>IF(59=59,IF($U59="","",SUMPRODUCT(--ISNUMBER(SEARCH(" "&amp;$CR$2147:$CR$2152&amp;" ",$AA59)))),"")</f>
        <v/>
      </c>
      <c r="CF59" s="581" t="str">
        <f>IF(59=59,IF($U59="","",IF((CD59)-(0)&gt;0,"X",IF((CE59)-(0)&gt;0,"?",""))),"")</f>
        <v/>
      </c>
      <c r="CG59" s="581" t="str">
        <f>IF(59=59,IF($U59="","",SUMPRODUCT(--ISNUMBER(SEARCH(" "&amp;$CR$2153:$CR$2252&amp;" ",$CJ59)))),"")</f>
        <v/>
      </c>
      <c r="CH59" s="581" t="str">
        <f>IF(59=59,IF($U59="","",SUMPRODUCT(--ISNUMBER(SEARCH(" "&amp;$CR$2253:$CR$2352&amp;" ",$CJ59)))),"")</f>
        <v/>
      </c>
      <c r="CI59" s="581" t="str">
        <f>IF(59=59,IF($U59="","",SUMPRODUCT(--ISNUMBER(SEARCH(" "&amp;$CR$2353:$CR$2395&amp;" ",$CJ59)))),"")</f>
        <v/>
      </c>
      <c r="CJ59" s="581"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c>
      <c r="CK59" s="581" t="str">
        <f>IF(59=59,IF($U59="","",SUMPRODUCT(--ISNUMBER(SEARCH(" "&amp;$CR$2412:$CR$2416&amp;" ",$CJ59)))),"")</f>
        <v/>
      </c>
      <c r="CL59" s="581" t="str">
        <f>IF(59=59,IF($U59="","",IF(SUM(CG59:CI59)&gt;0,"X",IF(CK59&gt;0,"?",""))),"")</f>
        <v/>
      </c>
      <c r="CM59" s="582"/>
      <c r="CN59" s="584" t="s">
        <v>2131</v>
      </c>
      <c r="CO59" s="584" t="s">
        <v>1887</v>
      </c>
      <c r="CP59" s="584" t="s">
        <v>1888</v>
      </c>
      <c r="CQ59" s="584" t="s">
        <v>2132</v>
      </c>
      <c r="CR59" s="584" t="s">
        <v>2132</v>
      </c>
      <c r="CS59" s="584" t="s">
        <v>1890</v>
      </c>
      <c r="CT59" s="584" t="s">
        <v>1891</v>
      </c>
      <c r="CU59" s="584" t="s">
        <v>1892</v>
      </c>
      <c r="CV59" s="585" t="s">
        <v>1893</v>
      </c>
    </row>
    <row r="60" spans="1:100" ht="21.95" customHeight="1" x14ac:dyDescent="0.25">
      <c r="A60" s="597">
        <v>54</v>
      </c>
      <c r="B60" s="598"/>
      <c r="C60" s="599" t="str">
        <f t="shared" si="0"/>
        <v/>
      </c>
      <c r="D60" s="600"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
      </c>
      <c r="E60" s="601" t="str">
        <f>IF(60=60,IF($B60="","",AF60),"")</f>
        <v/>
      </c>
      <c r="F60" s="601" t="str">
        <f>IF(60=60,IF($B60="","",AI60),"")</f>
        <v/>
      </c>
      <c r="G60" s="601" t="str">
        <f>IF(60=60,IF($B60="","",AM60),"")</f>
        <v/>
      </c>
      <c r="H60" s="601" t="str">
        <f>IF(60=60,IF($B60="","",AZ60),"")</f>
        <v/>
      </c>
      <c r="I60" s="601" t="str">
        <f>IF(60=60,IF($B60="","",BB60),"")</f>
        <v/>
      </c>
      <c r="J60" s="601" t="str">
        <f>IF(60=60,IF($B60="","",BF60),"")</f>
        <v/>
      </c>
      <c r="K60" s="601" t="str">
        <f>IF(60=60,IF($B60="","",BM60),"")</f>
        <v/>
      </c>
      <c r="L60" s="601" t="str">
        <f>IF(60=60,IF($B60="","",BQ60),"")</f>
        <v/>
      </c>
      <c r="M60" s="601" t="str">
        <f>IF(60=60,IF($B60="","",BT60),"")</f>
        <v/>
      </c>
      <c r="N60" s="601" t="str">
        <f>IF(60=60,IF($B60="","",BW60),"")</f>
        <v/>
      </c>
      <c r="O60" s="601" t="str">
        <f>IF(60=60,IF($B60="","",BZ60),"")</f>
        <v/>
      </c>
      <c r="P60" s="601" t="str">
        <f>IF(60=60,IF($B60="","",CC60),"")</f>
        <v/>
      </c>
      <c r="Q60" s="601" t="str">
        <f>IF(60=60,IF($B60="","",CF60),"")</f>
        <v/>
      </c>
      <c r="R60" s="601" t="str">
        <f>IF(60=60,IF($B60="","",CL60),"")</f>
        <v/>
      </c>
      <c r="S60" s="602"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581" t="str">
        <f>IF(60=60,IF($B60="","",$B60),"")</f>
        <v/>
      </c>
      <c r="V60" s="581" t="str">
        <f>IF(60=60,LOWER(CLEAN(SUBSTITUTE(SUBSTITUTE(SUBSTITUTE(SUBSTITUTE($U60,CHAR(160)," ")," "," "),CHAR(10)," "),CHAR(13)," "))),"")</f>
        <v/>
      </c>
      <c r="W60" s="581" t="str">
        <f>IF(60=60,SUBSTITUTE(SUBSTITUTE(SUBSTITUTE(SUBSTITUTE(SUBSTITUTE(SUBSTITUTE(SUBSTITUTE(SUBSTITUTE(SUBSTITUTE(SUBSTITUTE(SUBSTITUTE(SUBSTITUTE($V60,"œ","oe"),"æ","ae"),"à","a"),"á","a"),"â","a"),"ä","a"),"ã","a"),"ç","c"),"è","e"),"é","e"),"ê","e"),"ë","e"),"")</f>
        <v/>
      </c>
      <c r="X60" s="581" t="str">
        <f>IF(60=60,SUBSTITUTE(SUBSTITUTE(SUBSTITUTE(SUBSTITUTE(SUBSTITUTE(SUBSTITUTE(SUBSTITUTE(SUBSTITUTE(SUBSTITUTE(SUBSTITUTE(SUBSTITUTE(SUBSTITUTE(SUBSTITUTE(SUBSTITUTE(SUBSTITUTE(SUBSTITUTE($W60,"ì","i"),"í","i"),"î","i"),"ï","i"),"ñ","n"),"ò","o"),"ó","o"),"ô","o"),"ö","o"),"õ","o"),"ù","u"),"ú","u"),"û","u"),"ü","u"),"ý","y"),"ÿ","y"),"")</f>
        <v/>
      </c>
      <c r="Y60" s="581" t="str">
        <f>IF(60=60,SUBSTITUTE(SUBSTITUTE(SUBSTITUTE(SUBSTITUTE(SUBSTITUTE(SUBSTITUTE(SUBSTITUTE(SUBSTITUTE(SUBSTITUTE(SUBSTITUTE(SUBSTITUTE(SUBSTITUTE(SUBSTITUTE(SUBSTITUTE($X60,"’"," "),"`"," "),"–"," "),"—"," "),"-"," "),"'"," "),"/"," "),"_"," "),","," "),"."," "),"("," "),")"," "),";"," "),":"," "),"")</f>
        <v/>
      </c>
      <c r="Z60" s="581" t="str">
        <f>IF(60=60,SUBSTITUTE(SUBSTITUTE(SUBSTITUTE(SUBSTITUTE(SUBSTITUTE(SUBSTITUTE(SUBSTITUTE(SUBSTITUTE(SUBSTITUTE(SUBSTITUTE(SUBSTITUTE(SUBSTITUTE(SUBSTITUTE(SUBSTITUTE(SUBSTITUTE($Y60,"!"," "),"?"," "),"+"," "),"*"," "),"&amp;"," "),"["," "),"]"," "),"{"," "),"}"," "),"%"," "),"="," "),"\"," "),"|"," "),"&lt;"," "),"&gt;"," "),"")</f>
        <v/>
      </c>
      <c r="AA60" s="581" t="str">
        <f>IF(60=60," "&amp;TRIM(SUBSTITUTE(SUBSTITUTE(SUBSTITUTE(SUBSTITUTE(SUBSTITUTE(SUBSTITUTE($Z60,CHAR(34)," "),"  "," "),"  "," "),"  "," "),"  "," "),"  "," "))&amp;" ","")</f>
        <v xml:space="preserve">  </v>
      </c>
      <c r="AB60" s="581" t="str">
        <f>IF(60=60,IF($U60="","",SUMPRODUCT(--ISNUMBER(SEARCH(" "&amp;$CR$2:$CR$101&amp;" ",$AD60)))),"")</f>
        <v/>
      </c>
      <c r="AC60" s="581" t="str">
        <f>IF(60=60,IF($U60="","",SUMPRODUCT(--ISNUMBER(SEARCH(" "&amp;$CR$102:$CR$151&amp;" ",$AD60)))),"")</f>
        <v/>
      </c>
      <c r="AD60" s="581"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0" s="581" t="str">
        <f>IF(60=60,IF($U60="","",SUMPRODUCT(--ISNUMBER(SEARCH(" "&amp;$CR$184:$CR$205&amp;" ",$AD60)))),"")</f>
        <v/>
      </c>
      <c r="AF60" s="581" t="str">
        <f>IF(60=60,IF($U60="","",IF(SUM(AB60:AC60)+SUMPRODUCT(--ISNUMBER(SEARCH(" "&amp;$CR$2418:$CR$2420&amp;" ",$AD60)))&gt;0,"X",IF(AE60&gt;0,"?",""))),"")</f>
        <v/>
      </c>
      <c r="AG60" s="581" t="str">
        <f>IF(60=60,IF($U60="","",SUMPRODUCT(--ISNUMBER(SEARCH(" "&amp;$CR$206:$CR$305&amp;" ",$AA60)))),"")</f>
        <v/>
      </c>
      <c r="AH60" s="581" t="str">
        <f>IF(60=60,IF($U60="","",SUMPRODUCT(--ISNUMBER(SEARCH(" "&amp;$CR$306:$CR$340&amp;" ",$AA60)))),"")</f>
        <v/>
      </c>
      <c r="AI60" s="581" t="str">
        <f>IF(60=60,IF($U60="","",IF((SUM(AG60:AH60))-(0)&gt;0,"X",IF((0)-(0)&gt;0,"?",""))),"")</f>
        <v/>
      </c>
      <c r="AJ60" s="581" t="str">
        <f>IF(60=60,IF($U60="","",SUMPRODUCT(--ISNUMBER(SEARCH(" "&amp;$CR$341:$CR$398&amp;" ",$AA60)))),"")</f>
        <v/>
      </c>
      <c r="AK60" s="581" t="str">
        <f>IF(60=60,IF($U60="","",SUMPRODUCT(--ISNUMBER(SEARCH(" "&amp;$CR$399:$CR$426&amp;" ",$AL60)))+SUMPRODUCT(--ISNUMBER(SEARCH(" "&amp;$CR$2440:$CR$2453&amp;" ",$AL60)))),"")</f>
        <v/>
      </c>
      <c r="AL60" s="581" t="str">
        <f>IF(60=60,IF($U60="","",SUBSTITUTE(SUBSTITUTE(SUBSTITUTE(SUBSTITUTE(SUBSTITUTE(SUBSTITUTE(SUBSTITUTE(SUBSTITUTE(SUBSTITUTE(SUBSTITUTE(SUBSTITUTE(SUBSTITUTE(SUBSTITUTE($AA60," "&amp;$CR$433&amp;" "," ")," "&amp;$CR$431&amp;" "," ")," "&amp;$CR$2438&amp;" "," ")," "&amp;$CR$2439&amp;" "," ")," "&amp;$CR$428&amp;" "," ")," "&amp;$CR$432&amp;" "," ")," "&amp;$CR$434&amp;" "," ")," "&amp;$CR$429&amp;" "," ")," "&amp;$CR$427&amp;" "," ")," "&amp;$CR$1367&amp;" "," ")," "&amp;$CR$435&amp;" "," ")," "&amp;$CR$1366&amp;" "," ")," "&amp;$CR$430&amp;" "," ")),"")</f>
        <v/>
      </c>
      <c r="AM60" s="581" t="str">
        <f>IF(60=60,IF($U60="","",IF(AJ60&gt;0,"X",IF(AK60&gt;0,"?",""))),"")</f>
        <v/>
      </c>
      <c r="AN60" s="581" t="str">
        <f>IF(60=60,IF($U60="","",SUMPRODUCT(--ISNUMBER(SEARCH(" "&amp;$CR$436:$CR$535&amp;" ",$AX60)))),"")</f>
        <v/>
      </c>
      <c r="AO60" s="581" t="str">
        <f>IF(60=60,IF($U60="","",SUMPRODUCT(--ISNUMBER(SEARCH(" "&amp;$CR$536:$CR$635&amp;" ",$AX60)))),"")</f>
        <v/>
      </c>
      <c r="AP60" s="581" t="str">
        <f>IF(60=60,IF($U60="","",SUMPRODUCT(--ISNUMBER(SEARCH(" "&amp;$CR$636:$CR$735&amp;" ",$AX60)))),"")</f>
        <v/>
      </c>
      <c r="AQ60" s="581" t="str">
        <f>IF(60=60,IF($U60="","",SUMPRODUCT(--ISNUMBER(SEARCH(" "&amp;$CR$736:$CR$835&amp;" ",$AX60)))),"")</f>
        <v/>
      </c>
      <c r="AR60" s="581" t="str">
        <f>IF(60=60,IF($U60="","",SUMPRODUCT(--ISNUMBER(SEARCH(" "&amp;$CR$836:$CR$935&amp;" ",$AX60)))),"")</f>
        <v/>
      </c>
      <c r="AS60" s="581" t="str">
        <f>IF(60=60,IF($U60="","",SUMPRODUCT(--ISNUMBER(SEARCH(" "&amp;$CR$936:$CR$1035&amp;" ",$AX60)))),"")</f>
        <v/>
      </c>
      <c r="AT60" s="581" t="str">
        <f>IF(60=60,IF($U60="","",SUMPRODUCT(--ISNUMBER(SEARCH(" "&amp;$CR$1036:$CR$1135&amp;" ",$AX60)))),"")</f>
        <v/>
      </c>
      <c r="AU60" s="581" t="str">
        <f>IF(60=60,IF($U60="","",SUMPRODUCT(--ISNUMBER(SEARCH(" "&amp;$CR$1136:$CR$1235&amp;" ",$AX60)))),"")</f>
        <v/>
      </c>
      <c r="AV60" s="581" t="str">
        <f>IF(60=60,IF($U60="","",SUMPRODUCT(--ISNUMBER(SEARCH(" "&amp;$CR$1236:$CR$1335&amp;" ",$AX60)))),"")</f>
        <v/>
      </c>
      <c r="AW60" s="581" t="str">
        <f>IF(60=60,IF($U60="","",SUMPRODUCT(--ISNUMBER(SEARCH(" "&amp;$CR$1336:$CR$1363&amp;" ",$AX60)))),"")</f>
        <v/>
      </c>
      <c r="AX60" s="581" t="str">
        <f>IF(60=60,IF($U60="","",SUBSTITUTE(SUBSTITUTE(SUBSTITUTE(SUBSTITUTE(SUBSTITUTE(SUBSTITUTE(SUBSTITUTE(SUBSTITUTE(SUBSTITUTE($AA60," "&amp;$CR$1365&amp;" "," ")," "&amp;$CR$1364&amp;" "," ")," "&amp;$CR$1370&amp;" "," ")," "&amp;$CR$1371&amp;" "," ")," "&amp;$CR$1367&amp;" "," ")," "&amp;$CR$1369&amp;" "," ")," "&amp;$CR$1366&amp;" "," ")," "&amp;$CR$1368&amp;" "," ")," "&amp;$CR$1372&amp;" "," ")),"")</f>
        <v/>
      </c>
      <c r="AY60" s="581" t="str">
        <f>IF(60=60,IF($U60="","",SUMPRODUCT(--ISNUMBER(SEARCH(" "&amp;$CR$1373:$CR$1383&amp;" ",$AX60)))),"")</f>
        <v/>
      </c>
      <c r="AZ60" s="581" t="str">
        <f>IF(60=60,IF($U60="","",IF(SUM(AN60:AW60)+SUMPRODUCT(--ISNUMBER(SEARCH(" "&amp;$CR$2421:$CR$2422&amp;" ",$AX60)))&gt;0,"X",IF(AY60&gt;0,"?",""))),"")</f>
        <v/>
      </c>
      <c r="BA60" s="581" t="str">
        <f>IF(60=60,IF($U60="","",SUMPRODUCT(--ISNUMBER(SEARCH(" "&amp;$CR$1384:$CR$1404&amp;" ",$AA60)))),"")</f>
        <v/>
      </c>
      <c r="BB60" s="581" t="str">
        <f>IF(60=60,IF($U60="","",IF((BA60)-(0)&gt;0,"X",IF((0)-(0)&gt;0,"?",""))),"")</f>
        <v/>
      </c>
      <c r="BC60" s="581" t="str">
        <f>IF(60=60,IF($U60="","",SUMPRODUCT(--ISNUMBER(SEARCH(" "&amp;$CR$1405:$CR$1442&amp;" ",$BD60)))),"")</f>
        <v/>
      </c>
      <c r="BD60" s="581" t="str">
        <f>IF(60=60,IF($U60="","",SUBSTITUTE(SUBSTITUTE($AA60," "&amp;$CR$1443&amp;" "," ")," "&amp;$CR$1444&amp;" "," ")),"")</f>
        <v/>
      </c>
      <c r="BE60" s="581" t="str">
        <f>IF(60=60,IF($U60="","",SUMPRODUCT(--ISNUMBER(SEARCH(" "&amp;$CR$1445:$CR$1455&amp;" ",$BD60)))),"")</f>
        <v/>
      </c>
      <c r="BF60" s="581" t="str">
        <f>IF(60=60,IF($U60="","",IF(BC60&gt;0,"X",IF(BE60&gt;0,"?",""))),"")</f>
        <v/>
      </c>
      <c r="BG60" s="581" t="str">
        <f>IF(60=60,IF($U60="","",SUMPRODUCT(--ISNUMBER(SEARCH(" "&amp;$CR$1456:$CR$1555&amp;" ",$BJ60)))),"")</f>
        <v/>
      </c>
      <c r="BH60" s="581" t="str">
        <f>IF(60=60,IF($U60="","",SUMPRODUCT(--ISNUMBER(SEARCH(" "&amp;$CR$1556:$CR$1655&amp;" ",$BJ60)))),"")</f>
        <v/>
      </c>
      <c r="BI60" s="581" t="str">
        <f>IF(60=60,IF($U60="","",SUMPRODUCT(--ISNUMBER(SEARCH(" "&amp;$CR$1656:$CR$1739&amp;" ",$BJ60)))),"")</f>
        <v/>
      </c>
      <c r="BJ60" s="581"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0" s="581" t="str">
        <f>IF(60=60,IF($U60="","",SUMPRODUCT(--ISNUMBER(SEARCH(" "&amp;$CR$1790:$CR$1869&amp;" ",$BL60)))+SUMPRODUCT(--ISNUMBER(SEARCH(" "&amp;$CR$2440:$CR$2453&amp;" ",$BL60)))),"")</f>
        <v/>
      </c>
      <c r="BL60" s="581"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c>
      <c r="BM60" s="581" t="str">
        <f>IF(60=60,IF($U60="","",IF(SUM(BG60:BI60)+SUMPRODUCT(--ISNUMBER(SEARCH(" "&amp;$CR$2423:$CR$2424&amp;" ",$BJ60)))&gt;0,"X",IF(BK60&gt;0,"?",""))),"")</f>
        <v/>
      </c>
      <c r="BN60" s="581" t="str">
        <f>IF(60=60,IF($U60="","",SUMPRODUCT(--ISNUMBER(SEARCH(" "&amp;$CR$1879:$CR$1936&amp;" ",$BO60)))),"")</f>
        <v/>
      </c>
      <c r="BO60" s="581"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0" s="581" t="str">
        <f>IF(60=60,IF($U60="","",SUMPRODUCT(--ISNUMBER(SEARCH(" "&amp;$CR$1960:$CR$1976&amp;" ",$BO60)))),"")</f>
        <v/>
      </c>
      <c r="BQ60" s="581" t="str">
        <f>IF(60=60,IF($U60="","",IF(BN60&gt;0,"X",IF(BP60&gt;0,"?",""))),"")</f>
        <v/>
      </c>
      <c r="BR60" s="581" t="str">
        <f>IF(60=60,IF($U60="","",SUMPRODUCT(--ISNUMBER(SEARCH(" "&amp;$CR$1977:$CR$1990&amp;" ",$AA60)))),"")</f>
        <v/>
      </c>
      <c r="BS60" s="581" t="str">
        <f>IF(60=60,IF($U60="","",SUMPRODUCT(--ISNUMBER(SEARCH(" "&amp;$CR$1991:$CR$2005&amp;" ",$AA60)))),"")</f>
        <v/>
      </c>
      <c r="BT60" s="581" t="str">
        <f>IF(60=60,IF($U60="","",IF((BR60)-(0)&gt;0,"X",IF((BS60)-(0)&gt;0,"?",""))),"")</f>
        <v/>
      </c>
      <c r="BU60" s="581" t="str">
        <f>IF(60=60,IF($U60="","",SUMPRODUCT(--ISNUMBER(SEARCH(" "&amp;$CR$2006:$CR$2023&amp;" ",$AA60)))),"")</f>
        <v/>
      </c>
      <c r="BV60" s="581" t="str">
        <f>IF(60=60,IF($U60="","",SUMPRODUCT(--ISNUMBER(SEARCH(" "&amp;$CR$2024:$CR$2038&amp;" ",$AA60)))),"")</f>
        <v/>
      </c>
      <c r="BW60" s="581" t="str">
        <f>IF(60=60,IF($U60="","",IF((BU60)-(0)&gt;0,"X",IF((BV60)-(0)&gt;0,"?",""))),"")</f>
        <v/>
      </c>
      <c r="BX60" s="581" t="str">
        <f>IF(60=60,IF($U60="","",SUMPRODUCT(--ISNUMBER(SEARCH(" "&amp;$CR$2039:$CR$2057&amp;" ",$AA60)))),"")</f>
        <v/>
      </c>
      <c r="BY60" s="581" t="str">
        <f>IF(60=60,IF($U60="","",SUMPRODUCT(--ISNUMBER(SEARCH(" "&amp;$CR$2058:$CR$2072&amp;" ",$AA60)))),"")</f>
        <v/>
      </c>
      <c r="BZ60" s="581" t="str">
        <f>IF(60=60,IF($U60="","",IF((BX60)-(0)&gt;0,"X",IF((BY60)-(0)&gt;0,"?",""))),"")</f>
        <v/>
      </c>
      <c r="CA60" s="581" t="str">
        <f>IF(60=60,IF($U60="","",SUMPRODUCT(--ISNUMBER(SEARCH(" "&amp;$CR$2073:$CR$2093&amp;" ",$AA60)))),"")</f>
        <v/>
      </c>
      <c r="CB60" s="581" t="str">
        <f>IF(60=60,IF($U60="","",SUMPRODUCT(--ISNUMBER(SEARCH(" "&amp;$CR$2094:$CR$2133&amp;" ",SUBSTITUTE(SUBSTITUTE($AA60," "&amp;$CR$1367&amp;" "," ")," "&amp;$CR$1366&amp;" "," "))))+--ISNUMBER(SEARCH("poiré",$V60))),"")</f>
        <v/>
      </c>
      <c r="CC60" s="581" t="str">
        <f>IF(60=60,IF($U60="","",IF(OR(CA60&gt;0,ISNUMBER(SEARCH(" vinaigre de vin ",$AA60)),ISNUMBER(SEARCH(" vinaigre au vin ",$AA60))),"X",IF(CB60&gt;0,"?",""))),"")</f>
        <v/>
      </c>
      <c r="CD60" s="581" t="str">
        <f>IF(60=60,IF($U60="","",SUMPRODUCT(--ISNUMBER(SEARCH(" "&amp;$CR$2134:$CR$2146&amp;" ",$AA60)))),"")</f>
        <v/>
      </c>
      <c r="CE60" s="581" t="str">
        <f>IF(60=60,IF($U60="","",SUMPRODUCT(--ISNUMBER(SEARCH(" "&amp;$CR$2147:$CR$2152&amp;" ",$AA60)))),"")</f>
        <v/>
      </c>
      <c r="CF60" s="581" t="str">
        <f>IF(60=60,IF($U60="","",IF((CD60)-(0)&gt;0,"X",IF((CE60)-(0)&gt;0,"?",""))),"")</f>
        <v/>
      </c>
      <c r="CG60" s="581" t="str">
        <f>IF(60=60,IF($U60="","",SUMPRODUCT(--ISNUMBER(SEARCH(" "&amp;$CR$2153:$CR$2252&amp;" ",$CJ60)))),"")</f>
        <v/>
      </c>
      <c r="CH60" s="581" t="str">
        <f>IF(60=60,IF($U60="","",SUMPRODUCT(--ISNUMBER(SEARCH(" "&amp;$CR$2253:$CR$2352&amp;" ",$CJ60)))),"")</f>
        <v/>
      </c>
      <c r="CI60" s="581" t="str">
        <f>IF(60=60,IF($U60="","",SUMPRODUCT(--ISNUMBER(SEARCH(" "&amp;$CR$2353:$CR$2395&amp;" ",$CJ60)))),"")</f>
        <v/>
      </c>
      <c r="CJ60" s="581"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c>
      <c r="CK60" s="581" t="str">
        <f>IF(60=60,IF($U60="","",SUMPRODUCT(--ISNUMBER(SEARCH(" "&amp;$CR$2412:$CR$2416&amp;" ",$CJ60)))),"")</f>
        <v/>
      </c>
      <c r="CL60" s="581" t="str">
        <f>IF(60=60,IF($U60="","",IF(SUM(CG60:CI60)&gt;0,"X",IF(CK60&gt;0,"?",""))),"")</f>
        <v/>
      </c>
      <c r="CM60" s="582"/>
      <c r="CN60" s="584" t="s">
        <v>2133</v>
      </c>
      <c r="CO60" s="584" t="s">
        <v>1887</v>
      </c>
      <c r="CP60" s="584" t="s">
        <v>1888</v>
      </c>
      <c r="CQ60" s="584" t="s">
        <v>2134</v>
      </c>
      <c r="CR60" s="584" t="s">
        <v>2134</v>
      </c>
      <c r="CS60" s="584" t="s">
        <v>1890</v>
      </c>
      <c r="CT60" s="584" t="s">
        <v>1891</v>
      </c>
      <c r="CU60" s="584" t="s">
        <v>1892</v>
      </c>
      <c r="CV60" s="585" t="s">
        <v>1893</v>
      </c>
    </row>
    <row r="61" spans="1:100" ht="21.95" customHeight="1" x14ac:dyDescent="0.25">
      <c r="A61" s="597">
        <v>55</v>
      </c>
      <c r="B61" s="598"/>
      <c r="C61" s="599" t="str">
        <f t="shared" si="0"/>
        <v/>
      </c>
      <c r="D61" s="600"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
      </c>
      <c r="E61" s="601" t="str">
        <f>IF(61=61,IF($B61="","",AF61),"")</f>
        <v/>
      </c>
      <c r="F61" s="601" t="str">
        <f>IF(61=61,IF($B61="","",AI61),"")</f>
        <v/>
      </c>
      <c r="G61" s="601" t="str">
        <f>IF(61=61,IF($B61="","",AM61),"")</f>
        <v/>
      </c>
      <c r="H61" s="601" t="str">
        <f>IF(61=61,IF($B61="","",AZ61),"")</f>
        <v/>
      </c>
      <c r="I61" s="601" t="str">
        <f>IF(61=61,IF($B61="","",BB61),"")</f>
        <v/>
      </c>
      <c r="J61" s="601" t="str">
        <f>IF(61=61,IF($B61="","",BF61),"")</f>
        <v/>
      </c>
      <c r="K61" s="601" t="str">
        <f>IF(61=61,IF($B61="","",BM61),"")</f>
        <v/>
      </c>
      <c r="L61" s="601" t="str">
        <f>IF(61=61,IF($B61="","",BQ61),"")</f>
        <v/>
      </c>
      <c r="M61" s="601" t="str">
        <f>IF(61=61,IF($B61="","",BT61),"")</f>
        <v/>
      </c>
      <c r="N61" s="601" t="str">
        <f>IF(61=61,IF($B61="","",BW61),"")</f>
        <v/>
      </c>
      <c r="O61" s="601" t="str">
        <f>IF(61=61,IF($B61="","",BZ61),"")</f>
        <v/>
      </c>
      <c r="P61" s="601" t="str">
        <f>IF(61=61,IF($B61="","",CC61),"")</f>
        <v/>
      </c>
      <c r="Q61" s="601" t="str">
        <f>IF(61=61,IF($B61="","",CF61),"")</f>
        <v/>
      </c>
      <c r="R61" s="601" t="str">
        <f>IF(61=61,IF($B61="","",CL61),"")</f>
        <v/>
      </c>
      <c r="S61" s="602"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581" t="str">
        <f>IF(61=61,IF($B61="","",$B61),"")</f>
        <v/>
      </c>
      <c r="V61" s="581" t="str">
        <f>IF(61=61,LOWER(CLEAN(SUBSTITUTE(SUBSTITUTE(SUBSTITUTE(SUBSTITUTE($U61,CHAR(160)," ")," "," "),CHAR(10)," "),CHAR(13)," "))),"")</f>
        <v/>
      </c>
      <c r="W61" s="581" t="str">
        <f>IF(61=61,SUBSTITUTE(SUBSTITUTE(SUBSTITUTE(SUBSTITUTE(SUBSTITUTE(SUBSTITUTE(SUBSTITUTE(SUBSTITUTE(SUBSTITUTE(SUBSTITUTE(SUBSTITUTE(SUBSTITUTE($V61,"œ","oe"),"æ","ae"),"à","a"),"á","a"),"â","a"),"ä","a"),"ã","a"),"ç","c"),"è","e"),"é","e"),"ê","e"),"ë","e"),"")</f>
        <v/>
      </c>
      <c r="X61" s="581" t="str">
        <f>IF(61=61,SUBSTITUTE(SUBSTITUTE(SUBSTITUTE(SUBSTITUTE(SUBSTITUTE(SUBSTITUTE(SUBSTITUTE(SUBSTITUTE(SUBSTITUTE(SUBSTITUTE(SUBSTITUTE(SUBSTITUTE(SUBSTITUTE(SUBSTITUTE(SUBSTITUTE(SUBSTITUTE($W61,"ì","i"),"í","i"),"î","i"),"ï","i"),"ñ","n"),"ò","o"),"ó","o"),"ô","o"),"ö","o"),"õ","o"),"ù","u"),"ú","u"),"û","u"),"ü","u"),"ý","y"),"ÿ","y"),"")</f>
        <v/>
      </c>
      <c r="Y61" s="581" t="str">
        <f>IF(61=61,SUBSTITUTE(SUBSTITUTE(SUBSTITUTE(SUBSTITUTE(SUBSTITUTE(SUBSTITUTE(SUBSTITUTE(SUBSTITUTE(SUBSTITUTE(SUBSTITUTE(SUBSTITUTE(SUBSTITUTE(SUBSTITUTE(SUBSTITUTE($X61,"’"," "),"`"," "),"–"," "),"—"," "),"-"," "),"'"," "),"/"," "),"_"," "),","," "),"."," "),"("," "),")"," "),";"," "),":"," "),"")</f>
        <v/>
      </c>
      <c r="Z61" s="581" t="str">
        <f>IF(61=61,SUBSTITUTE(SUBSTITUTE(SUBSTITUTE(SUBSTITUTE(SUBSTITUTE(SUBSTITUTE(SUBSTITUTE(SUBSTITUTE(SUBSTITUTE(SUBSTITUTE(SUBSTITUTE(SUBSTITUTE(SUBSTITUTE(SUBSTITUTE(SUBSTITUTE($Y61,"!"," "),"?"," "),"+"," "),"*"," "),"&amp;"," "),"["," "),"]"," "),"{"," "),"}"," "),"%"," "),"="," "),"\"," "),"|"," "),"&lt;"," "),"&gt;"," "),"")</f>
        <v/>
      </c>
      <c r="AA61" s="581" t="str">
        <f>IF(61=61," "&amp;TRIM(SUBSTITUTE(SUBSTITUTE(SUBSTITUTE(SUBSTITUTE(SUBSTITUTE(SUBSTITUTE($Z61,CHAR(34)," "),"  "," "),"  "," "),"  "," "),"  "," "),"  "," "))&amp;" ","")</f>
        <v xml:space="preserve">  </v>
      </c>
      <c r="AB61" s="581" t="str">
        <f>IF(61=61,IF($U61="","",SUMPRODUCT(--ISNUMBER(SEARCH(" "&amp;$CR$2:$CR$101&amp;" ",$AD61)))),"")</f>
        <v/>
      </c>
      <c r="AC61" s="581" t="str">
        <f>IF(61=61,IF($U61="","",SUMPRODUCT(--ISNUMBER(SEARCH(" "&amp;$CR$102:$CR$151&amp;" ",$AD61)))),"")</f>
        <v/>
      </c>
      <c r="AD61" s="581"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1" s="581" t="str">
        <f>IF(61=61,IF($U61="","",SUMPRODUCT(--ISNUMBER(SEARCH(" "&amp;$CR$184:$CR$205&amp;" ",$AD61)))),"")</f>
        <v/>
      </c>
      <c r="AF61" s="581" t="str">
        <f>IF(61=61,IF($U61="","",IF(SUM(AB61:AC61)+SUMPRODUCT(--ISNUMBER(SEARCH(" "&amp;$CR$2418:$CR$2420&amp;" ",$AD61)))&gt;0,"X",IF(AE61&gt;0,"?",""))),"")</f>
        <v/>
      </c>
      <c r="AG61" s="581" t="str">
        <f>IF(61=61,IF($U61="","",SUMPRODUCT(--ISNUMBER(SEARCH(" "&amp;$CR$206:$CR$305&amp;" ",$AA61)))),"")</f>
        <v/>
      </c>
      <c r="AH61" s="581" t="str">
        <f>IF(61=61,IF($U61="","",SUMPRODUCT(--ISNUMBER(SEARCH(" "&amp;$CR$306:$CR$340&amp;" ",$AA61)))),"")</f>
        <v/>
      </c>
      <c r="AI61" s="581" t="str">
        <f>IF(61=61,IF($U61="","",IF((SUM(AG61:AH61))-(0)&gt;0,"X",IF((0)-(0)&gt;0,"?",""))),"")</f>
        <v/>
      </c>
      <c r="AJ61" s="581" t="str">
        <f>IF(61=61,IF($U61="","",SUMPRODUCT(--ISNUMBER(SEARCH(" "&amp;$CR$341:$CR$398&amp;" ",$AA61)))),"")</f>
        <v/>
      </c>
      <c r="AK61" s="581" t="str">
        <f>IF(61=61,IF($U61="","",SUMPRODUCT(--ISNUMBER(SEARCH(" "&amp;$CR$399:$CR$426&amp;" ",$AL61)))+SUMPRODUCT(--ISNUMBER(SEARCH(" "&amp;$CR$2440:$CR$2453&amp;" ",$AL61)))),"")</f>
        <v/>
      </c>
      <c r="AL61" s="581" t="str">
        <f>IF(61=61,IF($U61="","",SUBSTITUTE(SUBSTITUTE(SUBSTITUTE(SUBSTITUTE(SUBSTITUTE(SUBSTITUTE(SUBSTITUTE(SUBSTITUTE(SUBSTITUTE(SUBSTITUTE(SUBSTITUTE(SUBSTITUTE(SUBSTITUTE($AA61," "&amp;$CR$433&amp;" "," ")," "&amp;$CR$431&amp;" "," ")," "&amp;$CR$2438&amp;" "," ")," "&amp;$CR$2439&amp;" "," ")," "&amp;$CR$428&amp;" "," ")," "&amp;$CR$432&amp;" "," ")," "&amp;$CR$434&amp;" "," ")," "&amp;$CR$429&amp;" "," ")," "&amp;$CR$427&amp;" "," ")," "&amp;$CR$1367&amp;" "," ")," "&amp;$CR$435&amp;" "," ")," "&amp;$CR$1366&amp;" "," ")," "&amp;$CR$430&amp;" "," ")),"")</f>
        <v/>
      </c>
      <c r="AM61" s="581" t="str">
        <f>IF(61=61,IF($U61="","",IF(AJ61&gt;0,"X",IF(AK61&gt;0,"?",""))),"")</f>
        <v/>
      </c>
      <c r="AN61" s="581" t="str">
        <f>IF(61=61,IF($U61="","",SUMPRODUCT(--ISNUMBER(SEARCH(" "&amp;$CR$436:$CR$535&amp;" ",$AX61)))),"")</f>
        <v/>
      </c>
      <c r="AO61" s="581" t="str">
        <f>IF(61=61,IF($U61="","",SUMPRODUCT(--ISNUMBER(SEARCH(" "&amp;$CR$536:$CR$635&amp;" ",$AX61)))),"")</f>
        <v/>
      </c>
      <c r="AP61" s="581" t="str">
        <f>IF(61=61,IF($U61="","",SUMPRODUCT(--ISNUMBER(SEARCH(" "&amp;$CR$636:$CR$735&amp;" ",$AX61)))),"")</f>
        <v/>
      </c>
      <c r="AQ61" s="581" t="str">
        <f>IF(61=61,IF($U61="","",SUMPRODUCT(--ISNUMBER(SEARCH(" "&amp;$CR$736:$CR$835&amp;" ",$AX61)))),"")</f>
        <v/>
      </c>
      <c r="AR61" s="581" t="str">
        <f>IF(61=61,IF($U61="","",SUMPRODUCT(--ISNUMBER(SEARCH(" "&amp;$CR$836:$CR$935&amp;" ",$AX61)))),"")</f>
        <v/>
      </c>
      <c r="AS61" s="581" t="str">
        <f>IF(61=61,IF($U61="","",SUMPRODUCT(--ISNUMBER(SEARCH(" "&amp;$CR$936:$CR$1035&amp;" ",$AX61)))),"")</f>
        <v/>
      </c>
      <c r="AT61" s="581" t="str">
        <f>IF(61=61,IF($U61="","",SUMPRODUCT(--ISNUMBER(SEARCH(" "&amp;$CR$1036:$CR$1135&amp;" ",$AX61)))),"")</f>
        <v/>
      </c>
      <c r="AU61" s="581" t="str">
        <f>IF(61=61,IF($U61="","",SUMPRODUCT(--ISNUMBER(SEARCH(" "&amp;$CR$1136:$CR$1235&amp;" ",$AX61)))),"")</f>
        <v/>
      </c>
      <c r="AV61" s="581" t="str">
        <f>IF(61=61,IF($U61="","",SUMPRODUCT(--ISNUMBER(SEARCH(" "&amp;$CR$1236:$CR$1335&amp;" ",$AX61)))),"")</f>
        <v/>
      </c>
      <c r="AW61" s="581" t="str">
        <f>IF(61=61,IF($U61="","",SUMPRODUCT(--ISNUMBER(SEARCH(" "&amp;$CR$1336:$CR$1363&amp;" ",$AX61)))),"")</f>
        <v/>
      </c>
      <c r="AX61" s="581" t="str">
        <f>IF(61=61,IF($U61="","",SUBSTITUTE(SUBSTITUTE(SUBSTITUTE(SUBSTITUTE(SUBSTITUTE(SUBSTITUTE(SUBSTITUTE(SUBSTITUTE(SUBSTITUTE($AA61," "&amp;$CR$1365&amp;" "," ")," "&amp;$CR$1364&amp;" "," ")," "&amp;$CR$1370&amp;" "," ")," "&amp;$CR$1371&amp;" "," ")," "&amp;$CR$1367&amp;" "," ")," "&amp;$CR$1369&amp;" "," ")," "&amp;$CR$1366&amp;" "," ")," "&amp;$CR$1368&amp;" "," ")," "&amp;$CR$1372&amp;" "," ")),"")</f>
        <v/>
      </c>
      <c r="AY61" s="581" t="str">
        <f>IF(61=61,IF($U61="","",SUMPRODUCT(--ISNUMBER(SEARCH(" "&amp;$CR$1373:$CR$1383&amp;" ",$AX61)))),"")</f>
        <v/>
      </c>
      <c r="AZ61" s="581" t="str">
        <f>IF(61=61,IF($U61="","",IF(SUM(AN61:AW61)+SUMPRODUCT(--ISNUMBER(SEARCH(" "&amp;$CR$2421:$CR$2422&amp;" ",$AX61)))&gt;0,"X",IF(AY61&gt;0,"?",""))),"")</f>
        <v/>
      </c>
      <c r="BA61" s="581" t="str">
        <f>IF(61=61,IF($U61="","",SUMPRODUCT(--ISNUMBER(SEARCH(" "&amp;$CR$1384:$CR$1404&amp;" ",$AA61)))),"")</f>
        <v/>
      </c>
      <c r="BB61" s="581" t="str">
        <f>IF(61=61,IF($U61="","",IF((BA61)-(0)&gt;0,"X",IF((0)-(0)&gt;0,"?",""))),"")</f>
        <v/>
      </c>
      <c r="BC61" s="581" t="str">
        <f>IF(61=61,IF($U61="","",SUMPRODUCT(--ISNUMBER(SEARCH(" "&amp;$CR$1405:$CR$1442&amp;" ",$BD61)))),"")</f>
        <v/>
      </c>
      <c r="BD61" s="581" t="str">
        <f>IF(61=61,IF($U61="","",SUBSTITUTE(SUBSTITUTE($AA61," "&amp;$CR$1443&amp;" "," ")," "&amp;$CR$1444&amp;" "," ")),"")</f>
        <v/>
      </c>
      <c r="BE61" s="581" t="str">
        <f>IF(61=61,IF($U61="","",SUMPRODUCT(--ISNUMBER(SEARCH(" "&amp;$CR$1445:$CR$1455&amp;" ",$BD61)))),"")</f>
        <v/>
      </c>
      <c r="BF61" s="581" t="str">
        <f>IF(61=61,IF($U61="","",IF(BC61&gt;0,"X",IF(BE61&gt;0,"?",""))),"")</f>
        <v/>
      </c>
      <c r="BG61" s="581" t="str">
        <f>IF(61=61,IF($U61="","",SUMPRODUCT(--ISNUMBER(SEARCH(" "&amp;$CR$1456:$CR$1555&amp;" ",$BJ61)))),"")</f>
        <v/>
      </c>
      <c r="BH61" s="581" t="str">
        <f>IF(61=61,IF($U61="","",SUMPRODUCT(--ISNUMBER(SEARCH(" "&amp;$CR$1556:$CR$1655&amp;" ",$BJ61)))),"")</f>
        <v/>
      </c>
      <c r="BI61" s="581" t="str">
        <f>IF(61=61,IF($U61="","",SUMPRODUCT(--ISNUMBER(SEARCH(" "&amp;$CR$1656:$CR$1739&amp;" ",$BJ61)))),"")</f>
        <v/>
      </c>
      <c r="BJ61" s="581"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1" s="581" t="str">
        <f>IF(61=61,IF($U61="","",SUMPRODUCT(--ISNUMBER(SEARCH(" "&amp;$CR$1790:$CR$1869&amp;" ",$BL61)))+SUMPRODUCT(--ISNUMBER(SEARCH(" "&amp;$CR$2440:$CR$2453&amp;" ",$BL61)))),"")</f>
        <v/>
      </c>
      <c r="BL61" s="581"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c>
      <c r="BM61" s="581" t="str">
        <f>IF(61=61,IF($U61="","",IF(SUM(BG61:BI61)+SUMPRODUCT(--ISNUMBER(SEARCH(" "&amp;$CR$2423:$CR$2424&amp;" ",$BJ61)))&gt;0,"X",IF(BK61&gt;0,"?",""))),"")</f>
        <v/>
      </c>
      <c r="BN61" s="581" t="str">
        <f>IF(61=61,IF($U61="","",SUMPRODUCT(--ISNUMBER(SEARCH(" "&amp;$CR$1879:$CR$1936&amp;" ",$BO61)))),"")</f>
        <v/>
      </c>
      <c r="BO61" s="581"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1" s="581" t="str">
        <f>IF(61=61,IF($U61="","",SUMPRODUCT(--ISNUMBER(SEARCH(" "&amp;$CR$1960:$CR$1976&amp;" ",$BO61)))),"")</f>
        <v/>
      </c>
      <c r="BQ61" s="581" t="str">
        <f>IF(61=61,IF($U61="","",IF(BN61&gt;0,"X",IF(BP61&gt;0,"?",""))),"")</f>
        <v/>
      </c>
      <c r="BR61" s="581" t="str">
        <f>IF(61=61,IF($U61="","",SUMPRODUCT(--ISNUMBER(SEARCH(" "&amp;$CR$1977:$CR$1990&amp;" ",$AA61)))),"")</f>
        <v/>
      </c>
      <c r="BS61" s="581" t="str">
        <f>IF(61=61,IF($U61="","",SUMPRODUCT(--ISNUMBER(SEARCH(" "&amp;$CR$1991:$CR$2005&amp;" ",$AA61)))),"")</f>
        <v/>
      </c>
      <c r="BT61" s="581" t="str">
        <f>IF(61=61,IF($U61="","",IF((BR61)-(0)&gt;0,"X",IF((BS61)-(0)&gt;0,"?",""))),"")</f>
        <v/>
      </c>
      <c r="BU61" s="581" t="str">
        <f>IF(61=61,IF($U61="","",SUMPRODUCT(--ISNUMBER(SEARCH(" "&amp;$CR$2006:$CR$2023&amp;" ",$AA61)))),"")</f>
        <v/>
      </c>
      <c r="BV61" s="581" t="str">
        <f>IF(61=61,IF($U61="","",SUMPRODUCT(--ISNUMBER(SEARCH(" "&amp;$CR$2024:$CR$2038&amp;" ",$AA61)))),"")</f>
        <v/>
      </c>
      <c r="BW61" s="581" t="str">
        <f>IF(61=61,IF($U61="","",IF((BU61)-(0)&gt;0,"X",IF((BV61)-(0)&gt;0,"?",""))),"")</f>
        <v/>
      </c>
      <c r="BX61" s="581" t="str">
        <f>IF(61=61,IF($U61="","",SUMPRODUCT(--ISNUMBER(SEARCH(" "&amp;$CR$2039:$CR$2057&amp;" ",$AA61)))),"")</f>
        <v/>
      </c>
      <c r="BY61" s="581" t="str">
        <f>IF(61=61,IF($U61="","",SUMPRODUCT(--ISNUMBER(SEARCH(" "&amp;$CR$2058:$CR$2072&amp;" ",$AA61)))),"")</f>
        <v/>
      </c>
      <c r="BZ61" s="581" t="str">
        <f>IF(61=61,IF($U61="","",IF((BX61)-(0)&gt;0,"X",IF((BY61)-(0)&gt;0,"?",""))),"")</f>
        <v/>
      </c>
      <c r="CA61" s="581" t="str">
        <f>IF(61=61,IF($U61="","",SUMPRODUCT(--ISNUMBER(SEARCH(" "&amp;$CR$2073:$CR$2093&amp;" ",$AA61)))),"")</f>
        <v/>
      </c>
      <c r="CB61" s="581" t="str">
        <f>IF(61=61,IF($U61="","",SUMPRODUCT(--ISNUMBER(SEARCH(" "&amp;$CR$2094:$CR$2133&amp;" ",SUBSTITUTE(SUBSTITUTE($AA61," "&amp;$CR$1367&amp;" "," ")," "&amp;$CR$1366&amp;" "," "))))+--ISNUMBER(SEARCH("poiré",$V61))),"")</f>
        <v/>
      </c>
      <c r="CC61" s="581" t="str">
        <f>IF(61=61,IF($U61="","",IF(OR(CA61&gt;0,ISNUMBER(SEARCH(" vinaigre de vin ",$AA61)),ISNUMBER(SEARCH(" vinaigre au vin ",$AA61))),"X",IF(CB61&gt;0,"?",""))),"")</f>
        <v/>
      </c>
      <c r="CD61" s="581" t="str">
        <f>IF(61=61,IF($U61="","",SUMPRODUCT(--ISNUMBER(SEARCH(" "&amp;$CR$2134:$CR$2146&amp;" ",$AA61)))),"")</f>
        <v/>
      </c>
      <c r="CE61" s="581" t="str">
        <f>IF(61=61,IF($U61="","",SUMPRODUCT(--ISNUMBER(SEARCH(" "&amp;$CR$2147:$CR$2152&amp;" ",$AA61)))),"")</f>
        <v/>
      </c>
      <c r="CF61" s="581" t="str">
        <f>IF(61=61,IF($U61="","",IF((CD61)-(0)&gt;0,"X",IF((CE61)-(0)&gt;0,"?",""))),"")</f>
        <v/>
      </c>
      <c r="CG61" s="581" t="str">
        <f>IF(61=61,IF($U61="","",SUMPRODUCT(--ISNUMBER(SEARCH(" "&amp;$CR$2153:$CR$2252&amp;" ",$CJ61)))),"")</f>
        <v/>
      </c>
      <c r="CH61" s="581" t="str">
        <f>IF(61=61,IF($U61="","",SUMPRODUCT(--ISNUMBER(SEARCH(" "&amp;$CR$2253:$CR$2352&amp;" ",$CJ61)))),"")</f>
        <v/>
      </c>
      <c r="CI61" s="581" t="str">
        <f>IF(61=61,IF($U61="","",SUMPRODUCT(--ISNUMBER(SEARCH(" "&amp;$CR$2353:$CR$2395&amp;" ",$CJ61)))),"")</f>
        <v/>
      </c>
      <c r="CJ61" s="581"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c>
      <c r="CK61" s="581" t="str">
        <f>IF(61=61,IF($U61="","",SUMPRODUCT(--ISNUMBER(SEARCH(" "&amp;$CR$2412:$CR$2416&amp;" ",$CJ61)))),"")</f>
        <v/>
      </c>
      <c r="CL61" s="581" t="str">
        <f>IF(61=61,IF($U61="","",IF(SUM(CG61:CI61)&gt;0,"X",IF(CK61&gt;0,"?",""))),"")</f>
        <v/>
      </c>
      <c r="CM61" s="582"/>
      <c r="CN61" s="584" t="s">
        <v>2135</v>
      </c>
      <c r="CO61" s="584" t="s">
        <v>1887</v>
      </c>
      <c r="CP61" s="584" t="s">
        <v>1888</v>
      </c>
      <c r="CQ61" s="584" t="s">
        <v>2136</v>
      </c>
      <c r="CR61" s="584" t="s">
        <v>2136</v>
      </c>
      <c r="CS61" s="584" t="s">
        <v>1890</v>
      </c>
      <c r="CT61" s="584" t="s">
        <v>1891</v>
      </c>
      <c r="CU61" s="584" t="s">
        <v>1892</v>
      </c>
      <c r="CV61" s="585" t="s">
        <v>1893</v>
      </c>
    </row>
    <row r="62" spans="1:100" ht="21.95" customHeight="1" x14ac:dyDescent="0.25">
      <c r="A62" s="597">
        <v>56</v>
      </c>
      <c r="B62" s="598"/>
      <c r="C62" s="599" t="str">
        <f t="shared" si="0"/>
        <v/>
      </c>
      <c r="D62" s="600"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
      </c>
      <c r="E62" s="601" t="str">
        <f>IF(62=62,IF($B62="","",AF62),"")</f>
        <v/>
      </c>
      <c r="F62" s="601" t="str">
        <f>IF(62=62,IF($B62="","",AI62),"")</f>
        <v/>
      </c>
      <c r="G62" s="601" t="str">
        <f>IF(62=62,IF($B62="","",AM62),"")</f>
        <v/>
      </c>
      <c r="H62" s="601" t="str">
        <f>IF(62=62,IF($B62="","",AZ62),"")</f>
        <v/>
      </c>
      <c r="I62" s="601" t="str">
        <f>IF(62=62,IF($B62="","",BB62),"")</f>
        <v/>
      </c>
      <c r="J62" s="601" t="str">
        <f>IF(62=62,IF($B62="","",BF62),"")</f>
        <v/>
      </c>
      <c r="K62" s="601" t="str">
        <f>IF(62=62,IF($B62="","",BM62),"")</f>
        <v/>
      </c>
      <c r="L62" s="601" t="str">
        <f>IF(62=62,IF($B62="","",BQ62),"")</f>
        <v/>
      </c>
      <c r="M62" s="601" t="str">
        <f>IF(62=62,IF($B62="","",BT62),"")</f>
        <v/>
      </c>
      <c r="N62" s="601" t="str">
        <f>IF(62=62,IF($B62="","",BW62),"")</f>
        <v/>
      </c>
      <c r="O62" s="601" t="str">
        <f>IF(62=62,IF($B62="","",BZ62),"")</f>
        <v/>
      </c>
      <c r="P62" s="601" t="str">
        <f>IF(62=62,IF($B62="","",CC62),"")</f>
        <v/>
      </c>
      <c r="Q62" s="601" t="str">
        <f>IF(62=62,IF($B62="","",CF62),"")</f>
        <v/>
      </c>
      <c r="R62" s="601" t="str">
        <f>IF(62=62,IF($B62="","",CL62),"")</f>
        <v/>
      </c>
      <c r="S62" s="602"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581" t="str">
        <f>IF(62=62,IF($B62="","",$B62),"")</f>
        <v/>
      </c>
      <c r="V62" s="581" t="str">
        <f>IF(62=62,LOWER(CLEAN(SUBSTITUTE(SUBSTITUTE(SUBSTITUTE(SUBSTITUTE($U62,CHAR(160)," ")," "," "),CHAR(10)," "),CHAR(13)," "))),"")</f>
        <v/>
      </c>
      <c r="W62" s="581" t="str">
        <f>IF(62=62,SUBSTITUTE(SUBSTITUTE(SUBSTITUTE(SUBSTITUTE(SUBSTITUTE(SUBSTITUTE(SUBSTITUTE(SUBSTITUTE(SUBSTITUTE(SUBSTITUTE(SUBSTITUTE(SUBSTITUTE($V62,"œ","oe"),"æ","ae"),"à","a"),"á","a"),"â","a"),"ä","a"),"ã","a"),"ç","c"),"è","e"),"é","e"),"ê","e"),"ë","e"),"")</f>
        <v/>
      </c>
      <c r="X62" s="581" t="str">
        <f>IF(62=62,SUBSTITUTE(SUBSTITUTE(SUBSTITUTE(SUBSTITUTE(SUBSTITUTE(SUBSTITUTE(SUBSTITUTE(SUBSTITUTE(SUBSTITUTE(SUBSTITUTE(SUBSTITUTE(SUBSTITUTE(SUBSTITUTE(SUBSTITUTE(SUBSTITUTE(SUBSTITUTE($W62,"ì","i"),"í","i"),"î","i"),"ï","i"),"ñ","n"),"ò","o"),"ó","o"),"ô","o"),"ö","o"),"õ","o"),"ù","u"),"ú","u"),"û","u"),"ü","u"),"ý","y"),"ÿ","y"),"")</f>
        <v/>
      </c>
      <c r="Y62" s="581" t="str">
        <f>IF(62=62,SUBSTITUTE(SUBSTITUTE(SUBSTITUTE(SUBSTITUTE(SUBSTITUTE(SUBSTITUTE(SUBSTITUTE(SUBSTITUTE(SUBSTITUTE(SUBSTITUTE(SUBSTITUTE(SUBSTITUTE(SUBSTITUTE(SUBSTITUTE($X62,"’"," "),"`"," "),"–"," "),"—"," "),"-"," "),"'"," "),"/"," "),"_"," "),","," "),"."," "),"("," "),")"," "),";"," "),":"," "),"")</f>
        <v/>
      </c>
      <c r="Z62" s="581" t="str">
        <f>IF(62=62,SUBSTITUTE(SUBSTITUTE(SUBSTITUTE(SUBSTITUTE(SUBSTITUTE(SUBSTITUTE(SUBSTITUTE(SUBSTITUTE(SUBSTITUTE(SUBSTITUTE(SUBSTITUTE(SUBSTITUTE(SUBSTITUTE(SUBSTITUTE(SUBSTITUTE($Y62,"!"," "),"?"," "),"+"," "),"*"," "),"&amp;"," "),"["," "),"]"," "),"{"," "),"}"," "),"%"," "),"="," "),"\"," "),"|"," "),"&lt;"," "),"&gt;"," "),"")</f>
        <v/>
      </c>
      <c r="AA62" s="581" t="str">
        <f>IF(62=62," "&amp;TRIM(SUBSTITUTE(SUBSTITUTE(SUBSTITUTE(SUBSTITUTE(SUBSTITUTE(SUBSTITUTE($Z62,CHAR(34)," "),"  "," "),"  "," "),"  "," "),"  "," "),"  "," "))&amp;" ","")</f>
        <v xml:space="preserve">  </v>
      </c>
      <c r="AB62" s="581" t="str">
        <f>IF(62=62,IF($U62="","",SUMPRODUCT(--ISNUMBER(SEARCH(" "&amp;$CR$2:$CR$101&amp;" ",$AD62)))),"")</f>
        <v/>
      </c>
      <c r="AC62" s="581" t="str">
        <f>IF(62=62,IF($U62="","",SUMPRODUCT(--ISNUMBER(SEARCH(" "&amp;$CR$102:$CR$151&amp;" ",$AD62)))),"")</f>
        <v/>
      </c>
      <c r="AD62" s="581"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2" s="581" t="str">
        <f>IF(62=62,IF($U62="","",SUMPRODUCT(--ISNUMBER(SEARCH(" "&amp;$CR$184:$CR$205&amp;" ",$AD62)))),"")</f>
        <v/>
      </c>
      <c r="AF62" s="581" t="str">
        <f>IF(62=62,IF($U62="","",IF(SUM(AB62:AC62)+SUMPRODUCT(--ISNUMBER(SEARCH(" "&amp;$CR$2418:$CR$2420&amp;" ",$AD62)))&gt;0,"X",IF(AE62&gt;0,"?",""))),"")</f>
        <v/>
      </c>
      <c r="AG62" s="581" t="str">
        <f>IF(62=62,IF($U62="","",SUMPRODUCT(--ISNUMBER(SEARCH(" "&amp;$CR$206:$CR$305&amp;" ",$AA62)))),"")</f>
        <v/>
      </c>
      <c r="AH62" s="581" t="str">
        <f>IF(62=62,IF($U62="","",SUMPRODUCT(--ISNUMBER(SEARCH(" "&amp;$CR$306:$CR$340&amp;" ",$AA62)))),"")</f>
        <v/>
      </c>
      <c r="AI62" s="581" t="str">
        <f>IF(62=62,IF($U62="","",IF((SUM(AG62:AH62))-(0)&gt;0,"X",IF((0)-(0)&gt;0,"?",""))),"")</f>
        <v/>
      </c>
      <c r="AJ62" s="581" t="str">
        <f>IF(62=62,IF($U62="","",SUMPRODUCT(--ISNUMBER(SEARCH(" "&amp;$CR$341:$CR$398&amp;" ",$AA62)))),"")</f>
        <v/>
      </c>
      <c r="AK62" s="581" t="str">
        <f>IF(62=62,IF($U62="","",SUMPRODUCT(--ISNUMBER(SEARCH(" "&amp;$CR$399:$CR$426&amp;" ",$AL62)))+SUMPRODUCT(--ISNUMBER(SEARCH(" "&amp;$CR$2440:$CR$2453&amp;" ",$AL62)))),"")</f>
        <v/>
      </c>
      <c r="AL62" s="581" t="str">
        <f>IF(62=62,IF($U62="","",SUBSTITUTE(SUBSTITUTE(SUBSTITUTE(SUBSTITUTE(SUBSTITUTE(SUBSTITUTE(SUBSTITUTE(SUBSTITUTE(SUBSTITUTE(SUBSTITUTE(SUBSTITUTE(SUBSTITUTE(SUBSTITUTE($AA62," "&amp;$CR$433&amp;" "," ")," "&amp;$CR$431&amp;" "," ")," "&amp;$CR$2438&amp;" "," ")," "&amp;$CR$2439&amp;" "," ")," "&amp;$CR$428&amp;" "," ")," "&amp;$CR$432&amp;" "," ")," "&amp;$CR$434&amp;" "," ")," "&amp;$CR$429&amp;" "," ")," "&amp;$CR$427&amp;" "," ")," "&amp;$CR$1367&amp;" "," ")," "&amp;$CR$435&amp;" "," ")," "&amp;$CR$1366&amp;" "," ")," "&amp;$CR$430&amp;" "," ")),"")</f>
        <v/>
      </c>
      <c r="AM62" s="581" t="str">
        <f>IF(62=62,IF($U62="","",IF(AJ62&gt;0,"X",IF(AK62&gt;0,"?",""))),"")</f>
        <v/>
      </c>
      <c r="AN62" s="581" t="str">
        <f>IF(62=62,IF($U62="","",SUMPRODUCT(--ISNUMBER(SEARCH(" "&amp;$CR$436:$CR$535&amp;" ",$AX62)))),"")</f>
        <v/>
      </c>
      <c r="AO62" s="581" t="str">
        <f>IF(62=62,IF($U62="","",SUMPRODUCT(--ISNUMBER(SEARCH(" "&amp;$CR$536:$CR$635&amp;" ",$AX62)))),"")</f>
        <v/>
      </c>
      <c r="AP62" s="581" t="str">
        <f>IF(62=62,IF($U62="","",SUMPRODUCT(--ISNUMBER(SEARCH(" "&amp;$CR$636:$CR$735&amp;" ",$AX62)))),"")</f>
        <v/>
      </c>
      <c r="AQ62" s="581" t="str">
        <f>IF(62=62,IF($U62="","",SUMPRODUCT(--ISNUMBER(SEARCH(" "&amp;$CR$736:$CR$835&amp;" ",$AX62)))),"")</f>
        <v/>
      </c>
      <c r="AR62" s="581" t="str">
        <f>IF(62=62,IF($U62="","",SUMPRODUCT(--ISNUMBER(SEARCH(" "&amp;$CR$836:$CR$935&amp;" ",$AX62)))),"")</f>
        <v/>
      </c>
      <c r="AS62" s="581" t="str">
        <f>IF(62=62,IF($U62="","",SUMPRODUCT(--ISNUMBER(SEARCH(" "&amp;$CR$936:$CR$1035&amp;" ",$AX62)))),"")</f>
        <v/>
      </c>
      <c r="AT62" s="581" t="str">
        <f>IF(62=62,IF($U62="","",SUMPRODUCT(--ISNUMBER(SEARCH(" "&amp;$CR$1036:$CR$1135&amp;" ",$AX62)))),"")</f>
        <v/>
      </c>
      <c r="AU62" s="581" t="str">
        <f>IF(62=62,IF($U62="","",SUMPRODUCT(--ISNUMBER(SEARCH(" "&amp;$CR$1136:$CR$1235&amp;" ",$AX62)))),"")</f>
        <v/>
      </c>
      <c r="AV62" s="581" t="str">
        <f>IF(62=62,IF($U62="","",SUMPRODUCT(--ISNUMBER(SEARCH(" "&amp;$CR$1236:$CR$1335&amp;" ",$AX62)))),"")</f>
        <v/>
      </c>
      <c r="AW62" s="581" t="str">
        <f>IF(62=62,IF($U62="","",SUMPRODUCT(--ISNUMBER(SEARCH(" "&amp;$CR$1336:$CR$1363&amp;" ",$AX62)))),"")</f>
        <v/>
      </c>
      <c r="AX62" s="581" t="str">
        <f>IF(62=62,IF($U62="","",SUBSTITUTE(SUBSTITUTE(SUBSTITUTE(SUBSTITUTE(SUBSTITUTE(SUBSTITUTE(SUBSTITUTE(SUBSTITUTE(SUBSTITUTE($AA62," "&amp;$CR$1365&amp;" "," ")," "&amp;$CR$1364&amp;" "," ")," "&amp;$CR$1370&amp;" "," ")," "&amp;$CR$1371&amp;" "," ")," "&amp;$CR$1367&amp;" "," ")," "&amp;$CR$1369&amp;" "," ")," "&amp;$CR$1366&amp;" "," ")," "&amp;$CR$1368&amp;" "," ")," "&amp;$CR$1372&amp;" "," ")),"")</f>
        <v/>
      </c>
      <c r="AY62" s="581" t="str">
        <f>IF(62=62,IF($U62="","",SUMPRODUCT(--ISNUMBER(SEARCH(" "&amp;$CR$1373:$CR$1383&amp;" ",$AX62)))),"")</f>
        <v/>
      </c>
      <c r="AZ62" s="581" t="str">
        <f>IF(62=62,IF($U62="","",IF(SUM(AN62:AW62)+SUMPRODUCT(--ISNUMBER(SEARCH(" "&amp;$CR$2421:$CR$2422&amp;" ",$AX62)))&gt;0,"X",IF(AY62&gt;0,"?",""))),"")</f>
        <v/>
      </c>
      <c r="BA62" s="581" t="str">
        <f>IF(62=62,IF($U62="","",SUMPRODUCT(--ISNUMBER(SEARCH(" "&amp;$CR$1384:$CR$1404&amp;" ",$AA62)))),"")</f>
        <v/>
      </c>
      <c r="BB62" s="581" t="str">
        <f>IF(62=62,IF($U62="","",IF((BA62)-(0)&gt;0,"X",IF((0)-(0)&gt;0,"?",""))),"")</f>
        <v/>
      </c>
      <c r="BC62" s="581" t="str">
        <f>IF(62=62,IF($U62="","",SUMPRODUCT(--ISNUMBER(SEARCH(" "&amp;$CR$1405:$CR$1442&amp;" ",$BD62)))),"")</f>
        <v/>
      </c>
      <c r="BD62" s="581" t="str">
        <f>IF(62=62,IF($U62="","",SUBSTITUTE(SUBSTITUTE($AA62," "&amp;$CR$1443&amp;" "," ")," "&amp;$CR$1444&amp;" "," ")),"")</f>
        <v/>
      </c>
      <c r="BE62" s="581" t="str">
        <f>IF(62=62,IF($U62="","",SUMPRODUCT(--ISNUMBER(SEARCH(" "&amp;$CR$1445:$CR$1455&amp;" ",$BD62)))),"")</f>
        <v/>
      </c>
      <c r="BF62" s="581" t="str">
        <f>IF(62=62,IF($U62="","",IF(BC62&gt;0,"X",IF(BE62&gt;0,"?",""))),"")</f>
        <v/>
      </c>
      <c r="BG62" s="581" t="str">
        <f>IF(62=62,IF($U62="","",SUMPRODUCT(--ISNUMBER(SEARCH(" "&amp;$CR$1456:$CR$1555&amp;" ",$BJ62)))),"")</f>
        <v/>
      </c>
      <c r="BH62" s="581" t="str">
        <f>IF(62=62,IF($U62="","",SUMPRODUCT(--ISNUMBER(SEARCH(" "&amp;$CR$1556:$CR$1655&amp;" ",$BJ62)))),"")</f>
        <v/>
      </c>
      <c r="BI62" s="581" t="str">
        <f>IF(62=62,IF($U62="","",SUMPRODUCT(--ISNUMBER(SEARCH(" "&amp;$CR$1656:$CR$1739&amp;" ",$BJ62)))),"")</f>
        <v/>
      </c>
      <c r="BJ62" s="581"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2" s="581" t="str">
        <f>IF(62=62,IF($U62="","",SUMPRODUCT(--ISNUMBER(SEARCH(" "&amp;$CR$1790:$CR$1869&amp;" ",$BL62)))+SUMPRODUCT(--ISNUMBER(SEARCH(" "&amp;$CR$2440:$CR$2453&amp;" ",$BL62)))),"")</f>
        <v/>
      </c>
      <c r="BL62" s="581"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c>
      <c r="BM62" s="581" t="str">
        <f>IF(62=62,IF($U62="","",IF(SUM(BG62:BI62)+SUMPRODUCT(--ISNUMBER(SEARCH(" "&amp;$CR$2423:$CR$2424&amp;" ",$BJ62)))&gt;0,"X",IF(BK62&gt;0,"?",""))),"")</f>
        <v/>
      </c>
      <c r="BN62" s="581" t="str">
        <f>IF(62=62,IF($U62="","",SUMPRODUCT(--ISNUMBER(SEARCH(" "&amp;$CR$1879:$CR$1936&amp;" ",$BO62)))),"")</f>
        <v/>
      </c>
      <c r="BO62" s="581"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2" s="581" t="str">
        <f>IF(62=62,IF($U62="","",SUMPRODUCT(--ISNUMBER(SEARCH(" "&amp;$CR$1960:$CR$1976&amp;" ",$BO62)))),"")</f>
        <v/>
      </c>
      <c r="BQ62" s="581" t="str">
        <f>IF(62=62,IF($U62="","",IF(BN62&gt;0,"X",IF(BP62&gt;0,"?",""))),"")</f>
        <v/>
      </c>
      <c r="BR62" s="581" t="str">
        <f>IF(62=62,IF($U62="","",SUMPRODUCT(--ISNUMBER(SEARCH(" "&amp;$CR$1977:$CR$1990&amp;" ",$AA62)))),"")</f>
        <v/>
      </c>
      <c r="BS62" s="581" t="str">
        <f>IF(62=62,IF($U62="","",SUMPRODUCT(--ISNUMBER(SEARCH(" "&amp;$CR$1991:$CR$2005&amp;" ",$AA62)))),"")</f>
        <v/>
      </c>
      <c r="BT62" s="581" t="str">
        <f>IF(62=62,IF($U62="","",IF((BR62)-(0)&gt;0,"X",IF((BS62)-(0)&gt;0,"?",""))),"")</f>
        <v/>
      </c>
      <c r="BU62" s="581" t="str">
        <f>IF(62=62,IF($U62="","",SUMPRODUCT(--ISNUMBER(SEARCH(" "&amp;$CR$2006:$CR$2023&amp;" ",$AA62)))),"")</f>
        <v/>
      </c>
      <c r="BV62" s="581" t="str">
        <f>IF(62=62,IF($U62="","",SUMPRODUCT(--ISNUMBER(SEARCH(" "&amp;$CR$2024:$CR$2038&amp;" ",$AA62)))),"")</f>
        <v/>
      </c>
      <c r="BW62" s="581" t="str">
        <f>IF(62=62,IF($U62="","",IF((BU62)-(0)&gt;0,"X",IF((BV62)-(0)&gt;0,"?",""))),"")</f>
        <v/>
      </c>
      <c r="BX62" s="581" t="str">
        <f>IF(62=62,IF($U62="","",SUMPRODUCT(--ISNUMBER(SEARCH(" "&amp;$CR$2039:$CR$2057&amp;" ",$AA62)))),"")</f>
        <v/>
      </c>
      <c r="BY62" s="581" t="str">
        <f>IF(62=62,IF($U62="","",SUMPRODUCT(--ISNUMBER(SEARCH(" "&amp;$CR$2058:$CR$2072&amp;" ",$AA62)))),"")</f>
        <v/>
      </c>
      <c r="BZ62" s="581" t="str">
        <f>IF(62=62,IF($U62="","",IF((BX62)-(0)&gt;0,"X",IF((BY62)-(0)&gt;0,"?",""))),"")</f>
        <v/>
      </c>
      <c r="CA62" s="581" t="str">
        <f>IF(62=62,IF($U62="","",SUMPRODUCT(--ISNUMBER(SEARCH(" "&amp;$CR$2073:$CR$2093&amp;" ",$AA62)))),"")</f>
        <v/>
      </c>
      <c r="CB62" s="581" t="str">
        <f>IF(62=62,IF($U62="","",SUMPRODUCT(--ISNUMBER(SEARCH(" "&amp;$CR$2094:$CR$2133&amp;" ",SUBSTITUTE(SUBSTITUTE($AA62," "&amp;$CR$1367&amp;" "," ")," "&amp;$CR$1366&amp;" "," "))))+--ISNUMBER(SEARCH("poiré",$V62))),"")</f>
        <v/>
      </c>
      <c r="CC62" s="581" t="str">
        <f>IF(62=62,IF($U62="","",IF(OR(CA62&gt;0,ISNUMBER(SEARCH(" vinaigre de vin ",$AA62)),ISNUMBER(SEARCH(" vinaigre au vin ",$AA62))),"X",IF(CB62&gt;0,"?",""))),"")</f>
        <v/>
      </c>
      <c r="CD62" s="581" t="str">
        <f>IF(62=62,IF($U62="","",SUMPRODUCT(--ISNUMBER(SEARCH(" "&amp;$CR$2134:$CR$2146&amp;" ",$AA62)))),"")</f>
        <v/>
      </c>
      <c r="CE62" s="581" t="str">
        <f>IF(62=62,IF($U62="","",SUMPRODUCT(--ISNUMBER(SEARCH(" "&amp;$CR$2147:$CR$2152&amp;" ",$AA62)))),"")</f>
        <v/>
      </c>
      <c r="CF62" s="581" t="str">
        <f>IF(62=62,IF($U62="","",IF((CD62)-(0)&gt;0,"X",IF((CE62)-(0)&gt;0,"?",""))),"")</f>
        <v/>
      </c>
      <c r="CG62" s="581" t="str">
        <f>IF(62=62,IF($U62="","",SUMPRODUCT(--ISNUMBER(SEARCH(" "&amp;$CR$2153:$CR$2252&amp;" ",$CJ62)))),"")</f>
        <v/>
      </c>
      <c r="CH62" s="581" t="str">
        <f>IF(62=62,IF($U62="","",SUMPRODUCT(--ISNUMBER(SEARCH(" "&amp;$CR$2253:$CR$2352&amp;" ",$CJ62)))),"")</f>
        <v/>
      </c>
      <c r="CI62" s="581" t="str">
        <f>IF(62=62,IF($U62="","",SUMPRODUCT(--ISNUMBER(SEARCH(" "&amp;$CR$2353:$CR$2395&amp;" ",$CJ62)))),"")</f>
        <v/>
      </c>
      <c r="CJ62" s="581"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c>
      <c r="CK62" s="581" t="str">
        <f>IF(62=62,IF($U62="","",SUMPRODUCT(--ISNUMBER(SEARCH(" "&amp;$CR$2412:$CR$2416&amp;" ",$CJ62)))),"")</f>
        <v/>
      </c>
      <c r="CL62" s="581" t="str">
        <f>IF(62=62,IF($U62="","",IF(SUM(CG62:CI62)&gt;0,"X",IF(CK62&gt;0,"?",""))),"")</f>
        <v/>
      </c>
      <c r="CM62" s="582"/>
      <c r="CN62" s="584" t="s">
        <v>2137</v>
      </c>
      <c r="CO62" s="584" t="s">
        <v>1887</v>
      </c>
      <c r="CP62" s="584" t="s">
        <v>1888</v>
      </c>
      <c r="CQ62" s="584" t="s">
        <v>2138</v>
      </c>
      <c r="CR62" s="584" t="s">
        <v>2138</v>
      </c>
      <c r="CS62" s="584" t="s">
        <v>1890</v>
      </c>
      <c r="CT62" s="584" t="s">
        <v>1891</v>
      </c>
      <c r="CU62" s="584" t="s">
        <v>1892</v>
      </c>
      <c r="CV62" s="585" t="s">
        <v>1893</v>
      </c>
    </row>
    <row r="63" spans="1:100" ht="21.95" customHeight="1" x14ac:dyDescent="0.25">
      <c r="A63" s="597">
        <v>57</v>
      </c>
      <c r="B63" s="598"/>
      <c r="C63" s="599" t="str">
        <f t="shared" si="0"/>
        <v/>
      </c>
      <c r="D63" s="600"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
      </c>
      <c r="E63" s="601" t="str">
        <f>IF(63=63,IF($B63="","",AF63),"")</f>
        <v/>
      </c>
      <c r="F63" s="601" t="str">
        <f>IF(63=63,IF($B63="","",AI63),"")</f>
        <v/>
      </c>
      <c r="G63" s="601" t="str">
        <f>IF(63=63,IF($B63="","",AM63),"")</f>
        <v/>
      </c>
      <c r="H63" s="601" t="str">
        <f>IF(63=63,IF($B63="","",AZ63),"")</f>
        <v/>
      </c>
      <c r="I63" s="601" t="str">
        <f>IF(63=63,IF($B63="","",BB63),"")</f>
        <v/>
      </c>
      <c r="J63" s="601" t="str">
        <f>IF(63=63,IF($B63="","",BF63),"")</f>
        <v/>
      </c>
      <c r="K63" s="601" t="str">
        <f>IF(63=63,IF($B63="","",BM63),"")</f>
        <v/>
      </c>
      <c r="L63" s="601" t="str">
        <f>IF(63=63,IF($B63="","",BQ63),"")</f>
        <v/>
      </c>
      <c r="M63" s="601" t="str">
        <f>IF(63=63,IF($B63="","",BT63),"")</f>
        <v/>
      </c>
      <c r="N63" s="601" t="str">
        <f>IF(63=63,IF($B63="","",BW63),"")</f>
        <v/>
      </c>
      <c r="O63" s="601" t="str">
        <f>IF(63=63,IF($B63="","",BZ63),"")</f>
        <v/>
      </c>
      <c r="P63" s="601" t="str">
        <f>IF(63=63,IF($B63="","",CC63),"")</f>
        <v/>
      </c>
      <c r="Q63" s="601" t="str">
        <f>IF(63=63,IF($B63="","",CF63),"")</f>
        <v/>
      </c>
      <c r="R63" s="601" t="str">
        <f>IF(63=63,IF($B63="","",CL63),"")</f>
        <v/>
      </c>
      <c r="S63" s="602"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581" t="str">
        <f>IF(63=63,IF($B63="","",$B63),"")</f>
        <v/>
      </c>
      <c r="V63" s="581" t="str">
        <f>IF(63=63,LOWER(CLEAN(SUBSTITUTE(SUBSTITUTE(SUBSTITUTE(SUBSTITUTE($U63,CHAR(160)," ")," "," "),CHAR(10)," "),CHAR(13)," "))),"")</f>
        <v/>
      </c>
      <c r="W63" s="581" t="str">
        <f>IF(63=63,SUBSTITUTE(SUBSTITUTE(SUBSTITUTE(SUBSTITUTE(SUBSTITUTE(SUBSTITUTE(SUBSTITUTE(SUBSTITUTE(SUBSTITUTE(SUBSTITUTE(SUBSTITUTE(SUBSTITUTE($V63,"œ","oe"),"æ","ae"),"à","a"),"á","a"),"â","a"),"ä","a"),"ã","a"),"ç","c"),"è","e"),"é","e"),"ê","e"),"ë","e"),"")</f>
        <v/>
      </c>
      <c r="X63" s="581" t="str">
        <f>IF(63=63,SUBSTITUTE(SUBSTITUTE(SUBSTITUTE(SUBSTITUTE(SUBSTITUTE(SUBSTITUTE(SUBSTITUTE(SUBSTITUTE(SUBSTITUTE(SUBSTITUTE(SUBSTITUTE(SUBSTITUTE(SUBSTITUTE(SUBSTITUTE(SUBSTITUTE(SUBSTITUTE($W63,"ì","i"),"í","i"),"î","i"),"ï","i"),"ñ","n"),"ò","o"),"ó","o"),"ô","o"),"ö","o"),"õ","o"),"ù","u"),"ú","u"),"û","u"),"ü","u"),"ý","y"),"ÿ","y"),"")</f>
        <v/>
      </c>
      <c r="Y63" s="581" t="str">
        <f>IF(63=63,SUBSTITUTE(SUBSTITUTE(SUBSTITUTE(SUBSTITUTE(SUBSTITUTE(SUBSTITUTE(SUBSTITUTE(SUBSTITUTE(SUBSTITUTE(SUBSTITUTE(SUBSTITUTE(SUBSTITUTE(SUBSTITUTE(SUBSTITUTE($X63,"’"," "),"`"," "),"–"," "),"—"," "),"-"," "),"'"," "),"/"," "),"_"," "),","," "),"."," "),"("," "),")"," "),";"," "),":"," "),"")</f>
        <v/>
      </c>
      <c r="Z63" s="581" t="str">
        <f>IF(63=63,SUBSTITUTE(SUBSTITUTE(SUBSTITUTE(SUBSTITUTE(SUBSTITUTE(SUBSTITUTE(SUBSTITUTE(SUBSTITUTE(SUBSTITUTE(SUBSTITUTE(SUBSTITUTE(SUBSTITUTE(SUBSTITUTE(SUBSTITUTE(SUBSTITUTE($Y63,"!"," "),"?"," "),"+"," "),"*"," "),"&amp;"," "),"["," "),"]"," "),"{"," "),"}"," "),"%"," "),"="," "),"\"," "),"|"," "),"&lt;"," "),"&gt;"," "),"")</f>
        <v/>
      </c>
      <c r="AA63" s="581" t="str">
        <f>IF(63=63," "&amp;TRIM(SUBSTITUTE(SUBSTITUTE(SUBSTITUTE(SUBSTITUTE(SUBSTITUTE(SUBSTITUTE($Z63,CHAR(34)," "),"  "," "),"  "," "),"  "," "),"  "," "),"  "," "))&amp;" ","")</f>
        <v xml:space="preserve">  </v>
      </c>
      <c r="AB63" s="581" t="str">
        <f>IF(63=63,IF($U63="","",SUMPRODUCT(--ISNUMBER(SEARCH(" "&amp;$CR$2:$CR$101&amp;" ",$AD63)))),"")</f>
        <v/>
      </c>
      <c r="AC63" s="581" t="str">
        <f>IF(63=63,IF($U63="","",SUMPRODUCT(--ISNUMBER(SEARCH(" "&amp;$CR$102:$CR$151&amp;" ",$AD63)))),"")</f>
        <v/>
      </c>
      <c r="AD63" s="581"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3" s="581" t="str">
        <f>IF(63=63,IF($U63="","",SUMPRODUCT(--ISNUMBER(SEARCH(" "&amp;$CR$184:$CR$205&amp;" ",$AD63)))),"")</f>
        <v/>
      </c>
      <c r="AF63" s="581" t="str">
        <f>IF(63=63,IF($U63="","",IF(SUM(AB63:AC63)+SUMPRODUCT(--ISNUMBER(SEARCH(" "&amp;$CR$2418:$CR$2420&amp;" ",$AD63)))&gt;0,"X",IF(AE63&gt;0,"?",""))),"")</f>
        <v/>
      </c>
      <c r="AG63" s="581" t="str">
        <f>IF(63=63,IF($U63="","",SUMPRODUCT(--ISNUMBER(SEARCH(" "&amp;$CR$206:$CR$305&amp;" ",$AA63)))),"")</f>
        <v/>
      </c>
      <c r="AH63" s="581" t="str">
        <f>IF(63=63,IF($U63="","",SUMPRODUCT(--ISNUMBER(SEARCH(" "&amp;$CR$306:$CR$340&amp;" ",$AA63)))),"")</f>
        <v/>
      </c>
      <c r="AI63" s="581" t="str">
        <f>IF(63=63,IF($U63="","",IF((SUM(AG63:AH63))-(0)&gt;0,"X",IF((0)-(0)&gt;0,"?",""))),"")</f>
        <v/>
      </c>
      <c r="AJ63" s="581" t="str">
        <f>IF(63=63,IF($U63="","",SUMPRODUCT(--ISNUMBER(SEARCH(" "&amp;$CR$341:$CR$398&amp;" ",$AA63)))),"")</f>
        <v/>
      </c>
      <c r="AK63" s="581" t="str">
        <f>IF(63=63,IF($U63="","",SUMPRODUCT(--ISNUMBER(SEARCH(" "&amp;$CR$399:$CR$426&amp;" ",$AL63)))+SUMPRODUCT(--ISNUMBER(SEARCH(" "&amp;$CR$2440:$CR$2453&amp;" ",$AL63)))),"")</f>
        <v/>
      </c>
      <c r="AL63" s="581" t="str">
        <f>IF(63=63,IF($U63="","",SUBSTITUTE(SUBSTITUTE(SUBSTITUTE(SUBSTITUTE(SUBSTITUTE(SUBSTITUTE(SUBSTITUTE(SUBSTITUTE(SUBSTITUTE(SUBSTITUTE(SUBSTITUTE(SUBSTITUTE(SUBSTITUTE($AA63," "&amp;$CR$433&amp;" "," ")," "&amp;$CR$431&amp;" "," ")," "&amp;$CR$2438&amp;" "," ")," "&amp;$CR$2439&amp;" "," ")," "&amp;$CR$428&amp;" "," ")," "&amp;$CR$432&amp;" "," ")," "&amp;$CR$434&amp;" "," ")," "&amp;$CR$429&amp;" "," ")," "&amp;$CR$427&amp;" "," ")," "&amp;$CR$1367&amp;" "," ")," "&amp;$CR$435&amp;" "," ")," "&amp;$CR$1366&amp;" "," ")," "&amp;$CR$430&amp;" "," ")),"")</f>
        <v/>
      </c>
      <c r="AM63" s="581" t="str">
        <f>IF(63=63,IF($U63="","",IF(AJ63&gt;0,"X",IF(AK63&gt;0,"?",""))),"")</f>
        <v/>
      </c>
      <c r="AN63" s="581" t="str">
        <f>IF(63=63,IF($U63="","",SUMPRODUCT(--ISNUMBER(SEARCH(" "&amp;$CR$436:$CR$535&amp;" ",$AX63)))),"")</f>
        <v/>
      </c>
      <c r="AO63" s="581" t="str">
        <f>IF(63=63,IF($U63="","",SUMPRODUCT(--ISNUMBER(SEARCH(" "&amp;$CR$536:$CR$635&amp;" ",$AX63)))),"")</f>
        <v/>
      </c>
      <c r="AP63" s="581" t="str">
        <f>IF(63=63,IF($U63="","",SUMPRODUCT(--ISNUMBER(SEARCH(" "&amp;$CR$636:$CR$735&amp;" ",$AX63)))),"")</f>
        <v/>
      </c>
      <c r="AQ63" s="581" t="str">
        <f>IF(63=63,IF($U63="","",SUMPRODUCT(--ISNUMBER(SEARCH(" "&amp;$CR$736:$CR$835&amp;" ",$AX63)))),"")</f>
        <v/>
      </c>
      <c r="AR63" s="581" t="str">
        <f>IF(63=63,IF($U63="","",SUMPRODUCT(--ISNUMBER(SEARCH(" "&amp;$CR$836:$CR$935&amp;" ",$AX63)))),"")</f>
        <v/>
      </c>
      <c r="AS63" s="581" t="str">
        <f>IF(63=63,IF($U63="","",SUMPRODUCT(--ISNUMBER(SEARCH(" "&amp;$CR$936:$CR$1035&amp;" ",$AX63)))),"")</f>
        <v/>
      </c>
      <c r="AT63" s="581" t="str">
        <f>IF(63=63,IF($U63="","",SUMPRODUCT(--ISNUMBER(SEARCH(" "&amp;$CR$1036:$CR$1135&amp;" ",$AX63)))),"")</f>
        <v/>
      </c>
      <c r="AU63" s="581" t="str">
        <f>IF(63=63,IF($U63="","",SUMPRODUCT(--ISNUMBER(SEARCH(" "&amp;$CR$1136:$CR$1235&amp;" ",$AX63)))),"")</f>
        <v/>
      </c>
      <c r="AV63" s="581" t="str">
        <f>IF(63=63,IF($U63="","",SUMPRODUCT(--ISNUMBER(SEARCH(" "&amp;$CR$1236:$CR$1335&amp;" ",$AX63)))),"")</f>
        <v/>
      </c>
      <c r="AW63" s="581" t="str">
        <f>IF(63=63,IF($U63="","",SUMPRODUCT(--ISNUMBER(SEARCH(" "&amp;$CR$1336:$CR$1363&amp;" ",$AX63)))),"")</f>
        <v/>
      </c>
      <c r="AX63" s="581" t="str">
        <f>IF(63=63,IF($U63="","",SUBSTITUTE(SUBSTITUTE(SUBSTITUTE(SUBSTITUTE(SUBSTITUTE(SUBSTITUTE(SUBSTITUTE(SUBSTITUTE(SUBSTITUTE($AA63," "&amp;$CR$1365&amp;" "," ")," "&amp;$CR$1364&amp;" "," ")," "&amp;$CR$1370&amp;" "," ")," "&amp;$CR$1371&amp;" "," ")," "&amp;$CR$1367&amp;" "," ")," "&amp;$CR$1369&amp;" "," ")," "&amp;$CR$1366&amp;" "," ")," "&amp;$CR$1368&amp;" "," ")," "&amp;$CR$1372&amp;" "," ")),"")</f>
        <v/>
      </c>
      <c r="AY63" s="581" t="str">
        <f>IF(63=63,IF($U63="","",SUMPRODUCT(--ISNUMBER(SEARCH(" "&amp;$CR$1373:$CR$1383&amp;" ",$AX63)))),"")</f>
        <v/>
      </c>
      <c r="AZ63" s="581" t="str">
        <f>IF(63=63,IF($U63="","",IF(SUM(AN63:AW63)+SUMPRODUCT(--ISNUMBER(SEARCH(" "&amp;$CR$2421:$CR$2422&amp;" ",$AX63)))&gt;0,"X",IF(AY63&gt;0,"?",""))),"")</f>
        <v/>
      </c>
      <c r="BA63" s="581" t="str">
        <f>IF(63=63,IF($U63="","",SUMPRODUCT(--ISNUMBER(SEARCH(" "&amp;$CR$1384:$CR$1404&amp;" ",$AA63)))),"")</f>
        <v/>
      </c>
      <c r="BB63" s="581" t="str">
        <f>IF(63=63,IF($U63="","",IF((BA63)-(0)&gt;0,"X",IF((0)-(0)&gt;0,"?",""))),"")</f>
        <v/>
      </c>
      <c r="BC63" s="581" t="str">
        <f>IF(63=63,IF($U63="","",SUMPRODUCT(--ISNUMBER(SEARCH(" "&amp;$CR$1405:$CR$1442&amp;" ",$BD63)))),"")</f>
        <v/>
      </c>
      <c r="BD63" s="581" t="str">
        <f>IF(63=63,IF($U63="","",SUBSTITUTE(SUBSTITUTE($AA63," "&amp;$CR$1443&amp;" "," ")," "&amp;$CR$1444&amp;" "," ")),"")</f>
        <v/>
      </c>
      <c r="BE63" s="581" t="str">
        <f>IF(63=63,IF($U63="","",SUMPRODUCT(--ISNUMBER(SEARCH(" "&amp;$CR$1445:$CR$1455&amp;" ",$BD63)))),"")</f>
        <v/>
      </c>
      <c r="BF63" s="581" t="str">
        <f>IF(63=63,IF($U63="","",IF(BC63&gt;0,"X",IF(BE63&gt;0,"?",""))),"")</f>
        <v/>
      </c>
      <c r="BG63" s="581" t="str">
        <f>IF(63=63,IF($U63="","",SUMPRODUCT(--ISNUMBER(SEARCH(" "&amp;$CR$1456:$CR$1555&amp;" ",$BJ63)))),"")</f>
        <v/>
      </c>
      <c r="BH63" s="581" t="str">
        <f>IF(63=63,IF($U63="","",SUMPRODUCT(--ISNUMBER(SEARCH(" "&amp;$CR$1556:$CR$1655&amp;" ",$BJ63)))),"")</f>
        <v/>
      </c>
      <c r="BI63" s="581" t="str">
        <f>IF(63=63,IF($U63="","",SUMPRODUCT(--ISNUMBER(SEARCH(" "&amp;$CR$1656:$CR$1739&amp;" ",$BJ63)))),"")</f>
        <v/>
      </c>
      <c r="BJ63" s="581"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3" s="581" t="str">
        <f>IF(63=63,IF($U63="","",SUMPRODUCT(--ISNUMBER(SEARCH(" "&amp;$CR$1790:$CR$1869&amp;" ",$BL63)))+SUMPRODUCT(--ISNUMBER(SEARCH(" "&amp;$CR$2440:$CR$2453&amp;" ",$BL63)))),"")</f>
        <v/>
      </c>
      <c r="BL63" s="581"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c>
      <c r="BM63" s="581" t="str">
        <f>IF(63=63,IF($U63="","",IF(SUM(BG63:BI63)+SUMPRODUCT(--ISNUMBER(SEARCH(" "&amp;$CR$2423:$CR$2424&amp;" ",$BJ63)))&gt;0,"X",IF(BK63&gt;0,"?",""))),"")</f>
        <v/>
      </c>
      <c r="BN63" s="581" t="str">
        <f>IF(63=63,IF($U63="","",SUMPRODUCT(--ISNUMBER(SEARCH(" "&amp;$CR$1879:$CR$1936&amp;" ",$BO63)))),"")</f>
        <v/>
      </c>
      <c r="BO63" s="581"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3" s="581" t="str">
        <f>IF(63=63,IF($U63="","",SUMPRODUCT(--ISNUMBER(SEARCH(" "&amp;$CR$1960:$CR$1976&amp;" ",$BO63)))),"")</f>
        <v/>
      </c>
      <c r="BQ63" s="581" t="str">
        <f>IF(63=63,IF($U63="","",IF(BN63&gt;0,"X",IF(BP63&gt;0,"?",""))),"")</f>
        <v/>
      </c>
      <c r="BR63" s="581" t="str">
        <f>IF(63=63,IF($U63="","",SUMPRODUCT(--ISNUMBER(SEARCH(" "&amp;$CR$1977:$CR$1990&amp;" ",$AA63)))),"")</f>
        <v/>
      </c>
      <c r="BS63" s="581" t="str">
        <f>IF(63=63,IF($U63="","",SUMPRODUCT(--ISNUMBER(SEARCH(" "&amp;$CR$1991:$CR$2005&amp;" ",$AA63)))),"")</f>
        <v/>
      </c>
      <c r="BT63" s="581" t="str">
        <f>IF(63=63,IF($U63="","",IF((BR63)-(0)&gt;0,"X",IF((BS63)-(0)&gt;0,"?",""))),"")</f>
        <v/>
      </c>
      <c r="BU63" s="581" t="str">
        <f>IF(63=63,IF($U63="","",SUMPRODUCT(--ISNUMBER(SEARCH(" "&amp;$CR$2006:$CR$2023&amp;" ",$AA63)))),"")</f>
        <v/>
      </c>
      <c r="BV63" s="581" t="str">
        <f>IF(63=63,IF($U63="","",SUMPRODUCT(--ISNUMBER(SEARCH(" "&amp;$CR$2024:$CR$2038&amp;" ",$AA63)))),"")</f>
        <v/>
      </c>
      <c r="BW63" s="581" t="str">
        <f>IF(63=63,IF($U63="","",IF((BU63)-(0)&gt;0,"X",IF((BV63)-(0)&gt;0,"?",""))),"")</f>
        <v/>
      </c>
      <c r="BX63" s="581" t="str">
        <f>IF(63=63,IF($U63="","",SUMPRODUCT(--ISNUMBER(SEARCH(" "&amp;$CR$2039:$CR$2057&amp;" ",$AA63)))),"")</f>
        <v/>
      </c>
      <c r="BY63" s="581" t="str">
        <f>IF(63=63,IF($U63="","",SUMPRODUCT(--ISNUMBER(SEARCH(" "&amp;$CR$2058:$CR$2072&amp;" ",$AA63)))),"")</f>
        <v/>
      </c>
      <c r="BZ63" s="581" t="str">
        <f>IF(63=63,IF($U63="","",IF((BX63)-(0)&gt;0,"X",IF((BY63)-(0)&gt;0,"?",""))),"")</f>
        <v/>
      </c>
      <c r="CA63" s="581" t="str">
        <f>IF(63=63,IF($U63="","",SUMPRODUCT(--ISNUMBER(SEARCH(" "&amp;$CR$2073:$CR$2093&amp;" ",$AA63)))),"")</f>
        <v/>
      </c>
      <c r="CB63" s="581" t="str">
        <f>IF(63=63,IF($U63="","",SUMPRODUCT(--ISNUMBER(SEARCH(" "&amp;$CR$2094:$CR$2133&amp;" ",SUBSTITUTE(SUBSTITUTE($AA63," "&amp;$CR$1367&amp;" "," ")," "&amp;$CR$1366&amp;" "," "))))+--ISNUMBER(SEARCH("poiré",$V63))),"")</f>
        <v/>
      </c>
      <c r="CC63" s="581" t="str">
        <f>IF(63=63,IF($U63="","",IF(OR(CA63&gt;0,ISNUMBER(SEARCH(" vinaigre de vin ",$AA63)),ISNUMBER(SEARCH(" vinaigre au vin ",$AA63))),"X",IF(CB63&gt;0,"?",""))),"")</f>
        <v/>
      </c>
      <c r="CD63" s="581" t="str">
        <f>IF(63=63,IF($U63="","",SUMPRODUCT(--ISNUMBER(SEARCH(" "&amp;$CR$2134:$CR$2146&amp;" ",$AA63)))),"")</f>
        <v/>
      </c>
      <c r="CE63" s="581" t="str">
        <f>IF(63=63,IF($U63="","",SUMPRODUCT(--ISNUMBER(SEARCH(" "&amp;$CR$2147:$CR$2152&amp;" ",$AA63)))),"")</f>
        <v/>
      </c>
      <c r="CF63" s="581" t="str">
        <f>IF(63=63,IF($U63="","",IF((CD63)-(0)&gt;0,"X",IF((CE63)-(0)&gt;0,"?",""))),"")</f>
        <v/>
      </c>
      <c r="CG63" s="581" t="str">
        <f>IF(63=63,IF($U63="","",SUMPRODUCT(--ISNUMBER(SEARCH(" "&amp;$CR$2153:$CR$2252&amp;" ",$CJ63)))),"")</f>
        <v/>
      </c>
      <c r="CH63" s="581" t="str">
        <f>IF(63=63,IF($U63="","",SUMPRODUCT(--ISNUMBER(SEARCH(" "&amp;$CR$2253:$CR$2352&amp;" ",$CJ63)))),"")</f>
        <v/>
      </c>
      <c r="CI63" s="581" t="str">
        <f>IF(63=63,IF($U63="","",SUMPRODUCT(--ISNUMBER(SEARCH(" "&amp;$CR$2353:$CR$2395&amp;" ",$CJ63)))),"")</f>
        <v/>
      </c>
      <c r="CJ63" s="581"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c>
      <c r="CK63" s="581" t="str">
        <f>IF(63=63,IF($U63="","",SUMPRODUCT(--ISNUMBER(SEARCH(" "&amp;$CR$2412:$CR$2416&amp;" ",$CJ63)))),"")</f>
        <v/>
      </c>
      <c r="CL63" s="581" t="str">
        <f>IF(63=63,IF($U63="","",IF(SUM(CG63:CI63)&gt;0,"X",IF(CK63&gt;0,"?",""))),"")</f>
        <v/>
      </c>
      <c r="CM63" s="582"/>
      <c r="CN63" s="584" t="s">
        <v>2139</v>
      </c>
      <c r="CO63" s="584" t="s">
        <v>1887</v>
      </c>
      <c r="CP63" s="584" t="s">
        <v>1888</v>
      </c>
      <c r="CQ63" s="584" t="s">
        <v>2140</v>
      </c>
      <c r="CR63" s="584" t="s">
        <v>2140</v>
      </c>
      <c r="CS63" s="584" t="s">
        <v>1890</v>
      </c>
      <c r="CT63" s="584" t="s">
        <v>1891</v>
      </c>
      <c r="CU63" s="584" t="s">
        <v>1892</v>
      </c>
      <c r="CV63" s="585" t="s">
        <v>1893</v>
      </c>
    </row>
    <row r="64" spans="1:100" ht="21.95" customHeight="1" x14ac:dyDescent="0.25">
      <c r="A64" s="597">
        <v>58</v>
      </c>
      <c r="B64" s="598"/>
      <c r="C64" s="599" t="str">
        <f t="shared" si="0"/>
        <v/>
      </c>
      <c r="D64" s="600"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
      </c>
      <c r="E64" s="601" t="str">
        <f>IF(64=64,IF($B64="","",AF64),"")</f>
        <v/>
      </c>
      <c r="F64" s="601" t="str">
        <f>IF(64=64,IF($B64="","",AI64),"")</f>
        <v/>
      </c>
      <c r="G64" s="601" t="str">
        <f>IF(64=64,IF($B64="","",AM64),"")</f>
        <v/>
      </c>
      <c r="H64" s="601" t="str">
        <f>IF(64=64,IF($B64="","",AZ64),"")</f>
        <v/>
      </c>
      <c r="I64" s="601" t="str">
        <f>IF(64=64,IF($B64="","",BB64),"")</f>
        <v/>
      </c>
      <c r="J64" s="601" t="str">
        <f>IF(64=64,IF($B64="","",BF64),"")</f>
        <v/>
      </c>
      <c r="K64" s="601" t="str">
        <f>IF(64=64,IF($B64="","",BM64),"")</f>
        <v/>
      </c>
      <c r="L64" s="601" t="str">
        <f>IF(64=64,IF($B64="","",BQ64),"")</f>
        <v/>
      </c>
      <c r="M64" s="601" t="str">
        <f>IF(64=64,IF($B64="","",BT64),"")</f>
        <v/>
      </c>
      <c r="N64" s="601" t="str">
        <f>IF(64=64,IF($B64="","",BW64),"")</f>
        <v/>
      </c>
      <c r="O64" s="601" t="str">
        <f>IF(64=64,IF($B64="","",BZ64),"")</f>
        <v/>
      </c>
      <c r="P64" s="601" t="str">
        <f>IF(64=64,IF($B64="","",CC64),"")</f>
        <v/>
      </c>
      <c r="Q64" s="601" t="str">
        <f>IF(64=64,IF($B64="","",CF64),"")</f>
        <v/>
      </c>
      <c r="R64" s="601" t="str">
        <f>IF(64=64,IF($B64="","",CL64),"")</f>
        <v/>
      </c>
      <c r="S64" s="602"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581" t="str">
        <f>IF(64=64,IF($B64="","",$B64),"")</f>
        <v/>
      </c>
      <c r="V64" s="581" t="str">
        <f>IF(64=64,LOWER(CLEAN(SUBSTITUTE(SUBSTITUTE(SUBSTITUTE(SUBSTITUTE($U64,CHAR(160)," ")," "," "),CHAR(10)," "),CHAR(13)," "))),"")</f>
        <v/>
      </c>
      <c r="W64" s="581" t="str">
        <f>IF(64=64,SUBSTITUTE(SUBSTITUTE(SUBSTITUTE(SUBSTITUTE(SUBSTITUTE(SUBSTITUTE(SUBSTITUTE(SUBSTITUTE(SUBSTITUTE(SUBSTITUTE(SUBSTITUTE(SUBSTITUTE($V64,"œ","oe"),"æ","ae"),"à","a"),"á","a"),"â","a"),"ä","a"),"ã","a"),"ç","c"),"è","e"),"é","e"),"ê","e"),"ë","e"),"")</f>
        <v/>
      </c>
      <c r="X64" s="581" t="str">
        <f>IF(64=64,SUBSTITUTE(SUBSTITUTE(SUBSTITUTE(SUBSTITUTE(SUBSTITUTE(SUBSTITUTE(SUBSTITUTE(SUBSTITUTE(SUBSTITUTE(SUBSTITUTE(SUBSTITUTE(SUBSTITUTE(SUBSTITUTE(SUBSTITUTE(SUBSTITUTE(SUBSTITUTE($W64,"ì","i"),"í","i"),"î","i"),"ï","i"),"ñ","n"),"ò","o"),"ó","o"),"ô","o"),"ö","o"),"õ","o"),"ù","u"),"ú","u"),"û","u"),"ü","u"),"ý","y"),"ÿ","y"),"")</f>
        <v/>
      </c>
      <c r="Y64" s="581" t="str">
        <f>IF(64=64,SUBSTITUTE(SUBSTITUTE(SUBSTITUTE(SUBSTITUTE(SUBSTITUTE(SUBSTITUTE(SUBSTITUTE(SUBSTITUTE(SUBSTITUTE(SUBSTITUTE(SUBSTITUTE(SUBSTITUTE(SUBSTITUTE(SUBSTITUTE($X64,"’"," "),"`"," "),"–"," "),"—"," "),"-"," "),"'"," "),"/"," "),"_"," "),","," "),"."," "),"("," "),")"," "),";"," "),":"," "),"")</f>
        <v/>
      </c>
      <c r="Z64" s="581" t="str">
        <f>IF(64=64,SUBSTITUTE(SUBSTITUTE(SUBSTITUTE(SUBSTITUTE(SUBSTITUTE(SUBSTITUTE(SUBSTITUTE(SUBSTITUTE(SUBSTITUTE(SUBSTITUTE(SUBSTITUTE(SUBSTITUTE(SUBSTITUTE(SUBSTITUTE(SUBSTITUTE($Y64,"!"," "),"?"," "),"+"," "),"*"," "),"&amp;"," "),"["," "),"]"," "),"{"," "),"}"," "),"%"," "),"="," "),"\"," "),"|"," "),"&lt;"," "),"&gt;"," "),"")</f>
        <v/>
      </c>
      <c r="AA64" s="581" t="str">
        <f>IF(64=64," "&amp;TRIM(SUBSTITUTE(SUBSTITUTE(SUBSTITUTE(SUBSTITUTE(SUBSTITUTE(SUBSTITUTE($Z64,CHAR(34)," "),"  "," "),"  "," "),"  "," "),"  "," "),"  "," "))&amp;" ","")</f>
        <v xml:space="preserve">  </v>
      </c>
      <c r="AB64" s="581" t="str">
        <f>IF(64=64,IF($U64="","",SUMPRODUCT(--ISNUMBER(SEARCH(" "&amp;$CR$2:$CR$101&amp;" ",$AD64)))),"")</f>
        <v/>
      </c>
      <c r="AC64" s="581" t="str">
        <f>IF(64=64,IF($U64="","",SUMPRODUCT(--ISNUMBER(SEARCH(" "&amp;$CR$102:$CR$151&amp;" ",$AD64)))),"")</f>
        <v/>
      </c>
      <c r="AD64" s="581"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4" s="581" t="str">
        <f>IF(64=64,IF($U64="","",SUMPRODUCT(--ISNUMBER(SEARCH(" "&amp;$CR$184:$CR$205&amp;" ",$AD64)))),"")</f>
        <v/>
      </c>
      <c r="AF64" s="581" t="str">
        <f>IF(64=64,IF($U64="","",IF(SUM(AB64:AC64)+SUMPRODUCT(--ISNUMBER(SEARCH(" "&amp;$CR$2418:$CR$2420&amp;" ",$AD64)))&gt;0,"X",IF(AE64&gt;0,"?",""))),"")</f>
        <v/>
      </c>
      <c r="AG64" s="581" t="str">
        <f>IF(64=64,IF($U64="","",SUMPRODUCT(--ISNUMBER(SEARCH(" "&amp;$CR$206:$CR$305&amp;" ",$AA64)))),"")</f>
        <v/>
      </c>
      <c r="AH64" s="581" t="str">
        <f>IF(64=64,IF($U64="","",SUMPRODUCT(--ISNUMBER(SEARCH(" "&amp;$CR$306:$CR$340&amp;" ",$AA64)))),"")</f>
        <v/>
      </c>
      <c r="AI64" s="581" t="str">
        <f>IF(64=64,IF($U64="","",IF((SUM(AG64:AH64))-(0)&gt;0,"X",IF((0)-(0)&gt;0,"?",""))),"")</f>
        <v/>
      </c>
      <c r="AJ64" s="581" t="str">
        <f>IF(64=64,IF($U64="","",SUMPRODUCT(--ISNUMBER(SEARCH(" "&amp;$CR$341:$CR$398&amp;" ",$AA64)))),"")</f>
        <v/>
      </c>
      <c r="AK64" s="581" t="str">
        <f>IF(64=64,IF($U64="","",SUMPRODUCT(--ISNUMBER(SEARCH(" "&amp;$CR$399:$CR$426&amp;" ",$AL64)))+SUMPRODUCT(--ISNUMBER(SEARCH(" "&amp;$CR$2440:$CR$2453&amp;" ",$AL64)))),"")</f>
        <v/>
      </c>
      <c r="AL64" s="581" t="str">
        <f>IF(64=64,IF($U64="","",SUBSTITUTE(SUBSTITUTE(SUBSTITUTE(SUBSTITUTE(SUBSTITUTE(SUBSTITUTE(SUBSTITUTE(SUBSTITUTE(SUBSTITUTE(SUBSTITUTE(SUBSTITUTE(SUBSTITUTE(SUBSTITUTE($AA64," "&amp;$CR$433&amp;" "," ")," "&amp;$CR$431&amp;" "," ")," "&amp;$CR$2438&amp;" "," ")," "&amp;$CR$2439&amp;" "," ")," "&amp;$CR$428&amp;" "," ")," "&amp;$CR$432&amp;" "," ")," "&amp;$CR$434&amp;" "," ")," "&amp;$CR$429&amp;" "," ")," "&amp;$CR$427&amp;" "," ")," "&amp;$CR$1367&amp;" "," ")," "&amp;$CR$435&amp;" "," ")," "&amp;$CR$1366&amp;" "," ")," "&amp;$CR$430&amp;" "," ")),"")</f>
        <v/>
      </c>
      <c r="AM64" s="581" t="str">
        <f>IF(64=64,IF($U64="","",IF(AJ64&gt;0,"X",IF(AK64&gt;0,"?",""))),"")</f>
        <v/>
      </c>
      <c r="AN64" s="581" t="str">
        <f>IF(64=64,IF($U64="","",SUMPRODUCT(--ISNUMBER(SEARCH(" "&amp;$CR$436:$CR$535&amp;" ",$AX64)))),"")</f>
        <v/>
      </c>
      <c r="AO64" s="581" t="str">
        <f>IF(64=64,IF($U64="","",SUMPRODUCT(--ISNUMBER(SEARCH(" "&amp;$CR$536:$CR$635&amp;" ",$AX64)))),"")</f>
        <v/>
      </c>
      <c r="AP64" s="581" t="str">
        <f>IF(64=64,IF($U64="","",SUMPRODUCT(--ISNUMBER(SEARCH(" "&amp;$CR$636:$CR$735&amp;" ",$AX64)))),"")</f>
        <v/>
      </c>
      <c r="AQ64" s="581" t="str">
        <f>IF(64=64,IF($U64="","",SUMPRODUCT(--ISNUMBER(SEARCH(" "&amp;$CR$736:$CR$835&amp;" ",$AX64)))),"")</f>
        <v/>
      </c>
      <c r="AR64" s="581" t="str">
        <f>IF(64=64,IF($U64="","",SUMPRODUCT(--ISNUMBER(SEARCH(" "&amp;$CR$836:$CR$935&amp;" ",$AX64)))),"")</f>
        <v/>
      </c>
      <c r="AS64" s="581" t="str">
        <f>IF(64=64,IF($U64="","",SUMPRODUCT(--ISNUMBER(SEARCH(" "&amp;$CR$936:$CR$1035&amp;" ",$AX64)))),"")</f>
        <v/>
      </c>
      <c r="AT64" s="581" t="str">
        <f>IF(64=64,IF($U64="","",SUMPRODUCT(--ISNUMBER(SEARCH(" "&amp;$CR$1036:$CR$1135&amp;" ",$AX64)))),"")</f>
        <v/>
      </c>
      <c r="AU64" s="581" t="str">
        <f>IF(64=64,IF($U64="","",SUMPRODUCT(--ISNUMBER(SEARCH(" "&amp;$CR$1136:$CR$1235&amp;" ",$AX64)))),"")</f>
        <v/>
      </c>
      <c r="AV64" s="581" t="str">
        <f>IF(64=64,IF($U64="","",SUMPRODUCT(--ISNUMBER(SEARCH(" "&amp;$CR$1236:$CR$1335&amp;" ",$AX64)))),"")</f>
        <v/>
      </c>
      <c r="AW64" s="581" t="str">
        <f>IF(64=64,IF($U64="","",SUMPRODUCT(--ISNUMBER(SEARCH(" "&amp;$CR$1336:$CR$1363&amp;" ",$AX64)))),"")</f>
        <v/>
      </c>
      <c r="AX64" s="581" t="str">
        <f>IF(64=64,IF($U64="","",SUBSTITUTE(SUBSTITUTE(SUBSTITUTE(SUBSTITUTE(SUBSTITUTE(SUBSTITUTE(SUBSTITUTE(SUBSTITUTE(SUBSTITUTE($AA64," "&amp;$CR$1365&amp;" "," ")," "&amp;$CR$1364&amp;" "," ")," "&amp;$CR$1370&amp;" "," ")," "&amp;$CR$1371&amp;" "," ")," "&amp;$CR$1367&amp;" "," ")," "&amp;$CR$1369&amp;" "," ")," "&amp;$CR$1366&amp;" "," ")," "&amp;$CR$1368&amp;" "," ")," "&amp;$CR$1372&amp;" "," ")),"")</f>
        <v/>
      </c>
      <c r="AY64" s="581" t="str">
        <f>IF(64=64,IF($U64="","",SUMPRODUCT(--ISNUMBER(SEARCH(" "&amp;$CR$1373:$CR$1383&amp;" ",$AX64)))),"")</f>
        <v/>
      </c>
      <c r="AZ64" s="581" t="str">
        <f>IF(64=64,IF($U64="","",IF(SUM(AN64:AW64)+SUMPRODUCT(--ISNUMBER(SEARCH(" "&amp;$CR$2421:$CR$2422&amp;" ",$AX64)))&gt;0,"X",IF(AY64&gt;0,"?",""))),"")</f>
        <v/>
      </c>
      <c r="BA64" s="581" t="str">
        <f>IF(64=64,IF($U64="","",SUMPRODUCT(--ISNUMBER(SEARCH(" "&amp;$CR$1384:$CR$1404&amp;" ",$AA64)))),"")</f>
        <v/>
      </c>
      <c r="BB64" s="581" t="str">
        <f>IF(64=64,IF($U64="","",IF((BA64)-(0)&gt;0,"X",IF((0)-(0)&gt;0,"?",""))),"")</f>
        <v/>
      </c>
      <c r="BC64" s="581" t="str">
        <f>IF(64=64,IF($U64="","",SUMPRODUCT(--ISNUMBER(SEARCH(" "&amp;$CR$1405:$CR$1442&amp;" ",$BD64)))),"")</f>
        <v/>
      </c>
      <c r="BD64" s="581" t="str">
        <f>IF(64=64,IF($U64="","",SUBSTITUTE(SUBSTITUTE($AA64," "&amp;$CR$1443&amp;" "," ")," "&amp;$CR$1444&amp;" "," ")),"")</f>
        <v/>
      </c>
      <c r="BE64" s="581" t="str">
        <f>IF(64=64,IF($U64="","",SUMPRODUCT(--ISNUMBER(SEARCH(" "&amp;$CR$1445:$CR$1455&amp;" ",$BD64)))),"")</f>
        <v/>
      </c>
      <c r="BF64" s="581" t="str">
        <f>IF(64=64,IF($U64="","",IF(BC64&gt;0,"X",IF(BE64&gt;0,"?",""))),"")</f>
        <v/>
      </c>
      <c r="BG64" s="581" t="str">
        <f>IF(64=64,IF($U64="","",SUMPRODUCT(--ISNUMBER(SEARCH(" "&amp;$CR$1456:$CR$1555&amp;" ",$BJ64)))),"")</f>
        <v/>
      </c>
      <c r="BH64" s="581" t="str">
        <f>IF(64=64,IF($U64="","",SUMPRODUCT(--ISNUMBER(SEARCH(" "&amp;$CR$1556:$CR$1655&amp;" ",$BJ64)))),"")</f>
        <v/>
      </c>
      <c r="BI64" s="581" t="str">
        <f>IF(64=64,IF($U64="","",SUMPRODUCT(--ISNUMBER(SEARCH(" "&amp;$CR$1656:$CR$1739&amp;" ",$BJ64)))),"")</f>
        <v/>
      </c>
      <c r="BJ64" s="581"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4" s="581" t="str">
        <f>IF(64=64,IF($U64="","",SUMPRODUCT(--ISNUMBER(SEARCH(" "&amp;$CR$1790:$CR$1869&amp;" ",$BL64)))+SUMPRODUCT(--ISNUMBER(SEARCH(" "&amp;$CR$2440:$CR$2453&amp;" ",$BL64)))),"")</f>
        <v/>
      </c>
      <c r="BL64" s="581"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c>
      <c r="BM64" s="581" t="str">
        <f>IF(64=64,IF($U64="","",IF(SUM(BG64:BI64)+SUMPRODUCT(--ISNUMBER(SEARCH(" "&amp;$CR$2423:$CR$2424&amp;" ",$BJ64)))&gt;0,"X",IF(BK64&gt;0,"?",""))),"")</f>
        <v/>
      </c>
      <c r="BN64" s="581" t="str">
        <f>IF(64=64,IF($U64="","",SUMPRODUCT(--ISNUMBER(SEARCH(" "&amp;$CR$1879:$CR$1936&amp;" ",$BO64)))),"")</f>
        <v/>
      </c>
      <c r="BO64" s="581"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4" s="581" t="str">
        <f>IF(64=64,IF($U64="","",SUMPRODUCT(--ISNUMBER(SEARCH(" "&amp;$CR$1960:$CR$1976&amp;" ",$BO64)))),"")</f>
        <v/>
      </c>
      <c r="BQ64" s="581" t="str">
        <f>IF(64=64,IF($U64="","",IF(BN64&gt;0,"X",IF(BP64&gt;0,"?",""))),"")</f>
        <v/>
      </c>
      <c r="BR64" s="581" t="str">
        <f>IF(64=64,IF($U64="","",SUMPRODUCT(--ISNUMBER(SEARCH(" "&amp;$CR$1977:$CR$1990&amp;" ",$AA64)))),"")</f>
        <v/>
      </c>
      <c r="BS64" s="581" t="str">
        <f>IF(64=64,IF($U64="","",SUMPRODUCT(--ISNUMBER(SEARCH(" "&amp;$CR$1991:$CR$2005&amp;" ",$AA64)))),"")</f>
        <v/>
      </c>
      <c r="BT64" s="581" t="str">
        <f>IF(64=64,IF($U64="","",IF((BR64)-(0)&gt;0,"X",IF((BS64)-(0)&gt;0,"?",""))),"")</f>
        <v/>
      </c>
      <c r="BU64" s="581" t="str">
        <f>IF(64=64,IF($U64="","",SUMPRODUCT(--ISNUMBER(SEARCH(" "&amp;$CR$2006:$CR$2023&amp;" ",$AA64)))),"")</f>
        <v/>
      </c>
      <c r="BV64" s="581" t="str">
        <f>IF(64=64,IF($U64="","",SUMPRODUCT(--ISNUMBER(SEARCH(" "&amp;$CR$2024:$CR$2038&amp;" ",$AA64)))),"")</f>
        <v/>
      </c>
      <c r="BW64" s="581" t="str">
        <f>IF(64=64,IF($U64="","",IF((BU64)-(0)&gt;0,"X",IF((BV64)-(0)&gt;0,"?",""))),"")</f>
        <v/>
      </c>
      <c r="BX64" s="581" t="str">
        <f>IF(64=64,IF($U64="","",SUMPRODUCT(--ISNUMBER(SEARCH(" "&amp;$CR$2039:$CR$2057&amp;" ",$AA64)))),"")</f>
        <v/>
      </c>
      <c r="BY64" s="581" t="str">
        <f>IF(64=64,IF($U64="","",SUMPRODUCT(--ISNUMBER(SEARCH(" "&amp;$CR$2058:$CR$2072&amp;" ",$AA64)))),"")</f>
        <v/>
      </c>
      <c r="BZ64" s="581" t="str">
        <f>IF(64=64,IF($U64="","",IF((BX64)-(0)&gt;0,"X",IF((BY64)-(0)&gt;0,"?",""))),"")</f>
        <v/>
      </c>
      <c r="CA64" s="581" t="str">
        <f>IF(64=64,IF($U64="","",SUMPRODUCT(--ISNUMBER(SEARCH(" "&amp;$CR$2073:$CR$2093&amp;" ",$AA64)))),"")</f>
        <v/>
      </c>
      <c r="CB64" s="581" t="str">
        <f>IF(64=64,IF($U64="","",SUMPRODUCT(--ISNUMBER(SEARCH(" "&amp;$CR$2094:$CR$2133&amp;" ",SUBSTITUTE(SUBSTITUTE($AA64," "&amp;$CR$1367&amp;" "," ")," "&amp;$CR$1366&amp;" "," "))))+--ISNUMBER(SEARCH("poiré",$V64))),"")</f>
        <v/>
      </c>
      <c r="CC64" s="581" t="str">
        <f>IF(64=64,IF($U64="","",IF(OR(CA64&gt;0,ISNUMBER(SEARCH(" vinaigre de vin ",$AA64)),ISNUMBER(SEARCH(" vinaigre au vin ",$AA64))),"X",IF(CB64&gt;0,"?",""))),"")</f>
        <v/>
      </c>
      <c r="CD64" s="581" t="str">
        <f>IF(64=64,IF($U64="","",SUMPRODUCT(--ISNUMBER(SEARCH(" "&amp;$CR$2134:$CR$2146&amp;" ",$AA64)))),"")</f>
        <v/>
      </c>
      <c r="CE64" s="581" t="str">
        <f>IF(64=64,IF($U64="","",SUMPRODUCT(--ISNUMBER(SEARCH(" "&amp;$CR$2147:$CR$2152&amp;" ",$AA64)))),"")</f>
        <v/>
      </c>
      <c r="CF64" s="581" t="str">
        <f>IF(64=64,IF($U64="","",IF((CD64)-(0)&gt;0,"X",IF((CE64)-(0)&gt;0,"?",""))),"")</f>
        <v/>
      </c>
      <c r="CG64" s="581" t="str">
        <f>IF(64=64,IF($U64="","",SUMPRODUCT(--ISNUMBER(SEARCH(" "&amp;$CR$2153:$CR$2252&amp;" ",$CJ64)))),"")</f>
        <v/>
      </c>
      <c r="CH64" s="581" t="str">
        <f>IF(64=64,IF($U64="","",SUMPRODUCT(--ISNUMBER(SEARCH(" "&amp;$CR$2253:$CR$2352&amp;" ",$CJ64)))),"")</f>
        <v/>
      </c>
      <c r="CI64" s="581" t="str">
        <f>IF(64=64,IF($U64="","",SUMPRODUCT(--ISNUMBER(SEARCH(" "&amp;$CR$2353:$CR$2395&amp;" ",$CJ64)))),"")</f>
        <v/>
      </c>
      <c r="CJ64" s="581"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c>
      <c r="CK64" s="581" t="str">
        <f>IF(64=64,IF($U64="","",SUMPRODUCT(--ISNUMBER(SEARCH(" "&amp;$CR$2412:$CR$2416&amp;" ",$CJ64)))),"")</f>
        <v/>
      </c>
      <c r="CL64" s="581" t="str">
        <f>IF(64=64,IF($U64="","",IF(SUM(CG64:CI64)&gt;0,"X",IF(CK64&gt;0,"?",""))),"")</f>
        <v/>
      </c>
      <c r="CM64" s="582"/>
      <c r="CN64" s="584" t="s">
        <v>2141</v>
      </c>
      <c r="CO64" s="584" t="s">
        <v>1887</v>
      </c>
      <c r="CP64" s="584" t="s">
        <v>1888</v>
      </c>
      <c r="CQ64" s="584" t="s">
        <v>2142</v>
      </c>
      <c r="CR64" s="584" t="s">
        <v>2142</v>
      </c>
      <c r="CS64" s="584" t="s">
        <v>1890</v>
      </c>
      <c r="CT64" s="584" t="s">
        <v>1891</v>
      </c>
      <c r="CU64" s="584" t="s">
        <v>1892</v>
      </c>
      <c r="CV64" s="585" t="s">
        <v>1893</v>
      </c>
    </row>
    <row r="65" spans="1:100" ht="21.95" customHeight="1" x14ac:dyDescent="0.25">
      <c r="A65" s="597">
        <v>59</v>
      </c>
      <c r="B65" s="598"/>
      <c r="C65" s="599" t="str">
        <f t="shared" si="0"/>
        <v/>
      </c>
      <c r="D65" s="600"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
      </c>
      <c r="E65" s="601" t="str">
        <f>IF(65=65,IF($B65="","",AF65),"")</f>
        <v/>
      </c>
      <c r="F65" s="601" t="str">
        <f>IF(65=65,IF($B65="","",AI65),"")</f>
        <v/>
      </c>
      <c r="G65" s="601" t="str">
        <f>IF(65=65,IF($B65="","",AM65),"")</f>
        <v/>
      </c>
      <c r="H65" s="601" t="str">
        <f>IF(65=65,IF($B65="","",AZ65),"")</f>
        <v/>
      </c>
      <c r="I65" s="601" t="str">
        <f>IF(65=65,IF($B65="","",BB65),"")</f>
        <v/>
      </c>
      <c r="J65" s="601" t="str">
        <f>IF(65=65,IF($B65="","",BF65),"")</f>
        <v/>
      </c>
      <c r="K65" s="601" t="str">
        <f>IF(65=65,IF($B65="","",BM65),"")</f>
        <v/>
      </c>
      <c r="L65" s="601" t="str">
        <f>IF(65=65,IF($B65="","",BQ65),"")</f>
        <v/>
      </c>
      <c r="M65" s="601" t="str">
        <f>IF(65=65,IF($B65="","",BT65),"")</f>
        <v/>
      </c>
      <c r="N65" s="601" t="str">
        <f>IF(65=65,IF($B65="","",BW65),"")</f>
        <v/>
      </c>
      <c r="O65" s="601" t="str">
        <f>IF(65=65,IF($B65="","",BZ65),"")</f>
        <v/>
      </c>
      <c r="P65" s="601" t="str">
        <f>IF(65=65,IF($B65="","",CC65),"")</f>
        <v/>
      </c>
      <c r="Q65" s="601" t="str">
        <f>IF(65=65,IF($B65="","",CF65),"")</f>
        <v/>
      </c>
      <c r="R65" s="601" t="str">
        <f>IF(65=65,IF($B65="","",CL65),"")</f>
        <v/>
      </c>
      <c r="S65" s="602"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581" t="str">
        <f>IF(65=65,IF($B65="","",$B65),"")</f>
        <v/>
      </c>
      <c r="V65" s="581" t="str">
        <f>IF(65=65,LOWER(CLEAN(SUBSTITUTE(SUBSTITUTE(SUBSTITUTE(SUBSTITUTE($U65,CHAR(160)," ")," "," "),CHAR(10)," "),CHAR(13)," "))),"")</f>
        <v/>
      </c>
      <c r="W65" s="581" t="str">
        <f>IF(65=65,SUBSTITUTE(SUBSTITUTE(SUBSTITUTE(SUBSTITUTE(SUBSTITUTE(SUBSTITUTE(SUBSTITUTE(SUBSTITUTE(SUBSTITUTE(SUBSTITUTE(SUBSTITUTE(SUBSTITUTE($V65,"œ","oe"),"æ","ae"),"à","a"),"á","a"),"â","a"),"ä","a"),"ã","a"),"ç","c"),"è","e"),"é","e"),"ê","e"),"ë","e"),"")</f>
        <v/>
      </c>
      <c r="X65" s="581" t="str">
        <f>IF(65=65,SUBSTITUTE(SUBSTITUTE(SUBSTITUTE(SUBSTITUTE(SUBSTITUTE(SUBSTITUTE(SUBSTITUTE(SUBSTITUTE(SUBSTITUTE(SUBSTITUTE(SUBSTITUTE(SUBSTITUTE(SUBSTITUTE(SUBSTITUTE(SUBSTITUTE(SUBSTITUTE($W65,"ì","i"),"í","i"),"î","i"),"ï","i"),"ñ","n"),"ò","o"),"ó","o"),"ô","o"),"ö","o"),"õ","o"),"ù","u"),"ú","u"),"û","u"),"ü","u"),"ý","y"),"ÿ","y"),"")</f>
        <v/>
      </c>
      <c r="Y65" s="581" t="str">
        <f>IF(65=65,SUBSTITUTE(SUBSTITUTE(SUBSTITUTE(SUBSTITUTE(SUBSTITUTE(SUBSTITUTE(SUBSTITUTE(SUBSTITUTE(SUBSTITUTE(SUBSTITUTE(SUBSTITUTE(SUBSTITUTE(SUBSTITUTE(SUBSTITUTE($X65,"’"," "),"`"," "),"–"," "),"—"," "),"-"," "),"'"," "),"/"," "),"_"," "),","," "),"."," "),"("," "),")"," "),";"," "),":"," "),"")</f>
        <v/>
      </c>
      <c r="Z65" s="581" t="str">
        <f>IF(65=65,SUBSTITUTE(SUBSTITUTE(SUBSTITUTE(SUBSTITUTE(SUBSTITUTE(SUBSTITUTE(SUBSTITUTE(SUBSTITUTE(SUBSTITUTE(SUBSTITUTE(SUBSTITUTE(SUBSTITUTE(SUBSTITUTE(SUBSTITUTE(SUBSTITUTE($Y65,"!"," "),"?"," "),"+"," "),"*"," "),"&amp;"," "),"["," "),"]"," "),"{"," "),"}"," "),"%"," "),"="," "),"\"," "),"|"," "),"&lt;"," "),"&gt;"," "),"")</f>
        <v/>
      </c>
      <c r="AA65" s="581" t="str">
        <f>IF(65=65," "&amp;TRIM(SUBSTITUTE(SUBSTITUTE(SUBSTITUTE(SUBSTITUTE(SUBSTITUTE(SUBSTITUTE($Z65,CHAR(34)," "),"  "," "),"  "," "),"  "," "),"  "," "),"  "," "))&amp;" ","")</f>
        <v xml:space="preserve">  </v>
      </c>
      <c r="AB65" s="581" t="str">
        <f>IF(65=65,IF($U65="","",SUMPRODUCT(--ISNUMBER(SEARCH(" "&amp;$CR$2:$CR$101&amp;" ",$AD65)))),"")</f>
        <v/>
      </c>
      <c r="AC65" s="581" t="str">
        <f>IF(65=65,IF($U65="","",SUMPRODUCT(--ISNUMBER(SEARCH(" "&amp;$CR$102:$CR$151&amp;" ",$AD65)))),"")</f>
        <v/>
      </c>
      <c r="AD65" s="581"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5" s="581" t="str">
        <f>IF(65=65,IF($U65="","",SUMPRODUCT(--ISNUMBER(SEARCH(" "&amp;$CR$184:$CR$205&amp;" ",$AD65)))),"")</f>
        <v/>
      </c>
      <c r="AF65" s="581" t="str">
        <f>IF(65=65,IF($U65="","",IF(SUM(AB65:AC65)+SUMPRODUCT(--ISNUMBER(SEARCH(" "&amp;$CR$2418:$CR$2420&amp;" ",$AD65)))&gt;0,"X",IF(AE65&gt;0,"?",""))),"")</f>
        <v/>
      </c>
      <c r="AG65" s="581" t="str">
        <f>IF(65=65,IF($U65="","",SUMPRODUCT(--ISNUMBER(SEARCH(" "&amp;$CR$206:$CR$305&amp;" ",$AA65)))),"")</f>
        <v/>
      </c>
      <c r="AH65" s="581" t="str">
        <f>IF(65=65,IF($U65="","",SUMPRODUCT(--ISNUMBER(SEARCH(" "&amp;$CR$306:$CR$340&amp;" ",$AA65)))),"")</f>
        <v/>
      </c>
      <c r="AI65" s="581" t="str">
        <f>IF(65=65,IF($U65="","",IF((SUM(AG65:AH65))-(0)&gt;0,"X",IF((0)-(0)&gt;0,"?",""))),"")</f>
        <v/>
      </c>
      <c r="AJ65" s="581" t="str">
        <f>IF(65=65,IF($U65="","",SUMPRODUCT(--ISNUMBER(SEARCH(" "&amp;$CR$341:$CR$398&amp;" ",$AA65)))),"")</f>
        <v/>
      </c>
      <c r="AK65" s="581" t="str">
        <f>IF(65=65,IF($U65="","",SUMPRODUCT(--ISNUMBER(SEARCH(" "&amp;$CR$399:$CR$426&amp;" ",$AL65)))+SUMPRODUCT(--ISNUMBER(SEARCH(" "&amp;$CR$2440:$CR$2453&amp;" ",$AL65)))),"")</f>
        <v/>
      </c>
      <c r="AL65" s="581" t="str">
        <f>IF(65=65,IF($U65="","",SUBSTITUTE(SUBSTITUTE(SUBSTITUTE(SUBSTITUTE(SUBSTITUTE(SUBSTITUTE(SUBSTITUTE(SUBSTITUTE(SUBSTITUTE(SUBSTITUTE(SUBSTITUTE(SUBSTITUTE(SUBSTITUTE($AA65," "&amp;$CR$433&amp;" "," ")," "&amp;$CR$431&amp;" "," ")," "&amp;$CR$2438&amp;" "," ")," "&amp;$CR$2439&amp;" "," ")," "&amp;$CR$428&amp;" "," ")," "&amp;$CR$432&amp;" "," ")," "&amp;$CR$434&amp;" "," ")," "&amp;$CR$429&amp;" "," ")," "&amp;$CR$427&amp;" "," ")," "&amp;$CR$1367&amp;" "," ")," "&amp;$CR$435&amp;" "," ")," "&amp;$CR$1366&amp;" "," ")," "&amp;$CR$430&amp;" "," ")),"")</f>
        <v/>
      </c>
      <c r="AM65" s="581" t="str">
        <f>IF(65=65,IF($U65="","",IF(AJ65&gt;0,"X",IF(AK65&gt;0,"?",""))),"")</f>
        <v/>
      </c>
      <c r="AN65" s="581" t="str">
        <f>IF(65=65,IF($U65="","",SUMPRODUCT(--ISNUMBER(SEARCH(" "&amp;$CR$436:$CR$535&amp;" ",$AX65)))),"")</f>
        <v/>
      </c>
      <c r="AO65" s="581" t="str">
        <f>IF(65=65,IF($U65="","",SUMPRODUCT(--ISNUMBER(SEARCH(" "&amp;$CR$536:$CR$635&amp;" ",$AX65)))),"")</f>
        <v/>
      </c>
      <c r="AP65" s="581" t="str">
        <f>IF(65=65,IF($U65="","",SUMPRODUCT(--ISNUMBER(SEARCH(" "&amp;$CR$636:$CR$735&amp;" ",$AX65)))),"")</f>
        <v/>
      </c>
      <c r="AQ65" s="581" t="str">
        <f>IF(65=65,IF($U65="","",SUMPRODUCT(--ISNUMBER(SEARCH(" "&amp;$CR$736:$CR$835&amp;" ",$AX65)))),"")</f>
        <v/>
      </c>
      <c r="AR65" s="581" t="str">
        <f>IF(65=65,IF($U65="","",SUMPRODUCT(--ISNUMBER(SEARCH(" "&amp;$CR$836:$CR$935&amp;" ",$AX65)))),"")</f>
        <v/>
      </c>
      <c r="AS65" s="581" t="str">
        <f>IF(65=65,IF($U65="","",SUMPRODUCT(--ISNUMBER(SEARCH(" "&amp;$CR$936:$CR$1035&amp;" ",$AX65)))),"")</f>
        <v/>
      </c>
      <c r="AT65" s="581" t="str">
        <f>IF(65=65,IF($U65="","",SUMPRODUCT(--ISNUMBER(SEARCH(" "&amp;$CR$1036:$CR$1135&amp;" ",$AX65)))),"")</f>
        <v/>
      </c>
      <c r="AU65" s="581" t="str">
        <f>IF(65=65,IF($U65="","",SUMPRODUCT(--ISNUMBER(SEARCH(" "&amp;$CR$1136:$CR$1235&amp;" ",$AX65)))),"")</f>
        <v/>
      </c>
      <c r="AV65" s="581" t="str">
        <f>IF(65=65,IF($U65="","",SUMPRODUCT(--ISNUMBER(SEARCH(" "&amp;$CR$1236:$CR$1335&amp;" ",$AX65)))),"")</f>
        <v/>
      </c>
      <c r="AW65" s="581" t="str">
        <f>IF(65=65,IF($U65="","",SUMPRODUCT(--ISNUMBER(SEARCH(" "&amp;$CR$1336:$CR$1363&amp;" ",$AX65)))),"")</f>
        <v/>
      </c>
      <c r="AX65" s="581" t="str">
        <f>IF(65=65,IF($U65="","",SUBSTITUTE(SUBSTITUTE(SUBSTITUTE(SUBSTITUTE(SUBSTITUTE(SUBSTITUTE(SUBSTITUTE(SUBSTITUTE(SUBSTITUTE($AA65," "&amp;$CR$1365&amp;" "," ")," "&amp;$CR$1364&amp;" "," ")," "&amp;$CR$1370&amp;" "," ")," "&amp;$CR$1371&amp;" "," ")," "&amp;$CR$1367&amp;" "," ")," "&amp;$CR$1369&amp;" "," ")," "&amp;$CR$1366&amp;" "," ")," "&amp;$CR$1368&amp;" "," ")," "&amp;$CR$1372&amp;" "," ")),"")</f>
        <v/>
      </c>
      <c r="AY65" s="581" t="str">
        <f>IF(65=65,IF($U65="","",SUMPRODUCT(--ISNUMBER(SEARCH(" "&amp;$CR$1373:$CR$1383&amp;" ",$AX65)))),"")</f>
        <v/>
      </c>
      <c r="AZ65" s="581" t="str">
        <f>IF(65=65,IF($U65="","",IF(SUM(AN65:AW65)+SUMPRODUCT(--ISNUMBER(SEARCH(" "&amp;$CR$2421:$CR$2422&amp;" ",$AX65)))&gt;0,"X",IF(AY65&gt;0,"?",""))),"")</f>
        <v/>
      </c>
      <c r="BA65" s="581" t="str">
        <f>IF(65=65,IF($U65="","",SUMPRODUCT(--ISNUMBER(SEARCH(" "&amp;$CR$1384:$CR$1404&amp;" ",$AA65)))),"")</f>
        <v/>
      </c>
      <c r="BB65" s="581" t="str">
        <f>IF(65=65,IF($U65="","",IF((BA65)-(0)&gt;0,"X",IF((0)-(0)&gt;0,"?",""))),"")</f>
        <v/>
      </c>
      <c r="BC65" s="581" t="str">
        <f>IF(65=65,IF($U65="","",SUMPRODUCT(--ISNUMBER(SEARCH(" "&amp;$CR$1405:$CR$1442&amp;" ",$BD65)))),"")</f>
        <v/>
      </c>
      <c r="BD65" s="581" t="str">
        <f>IF(65=65,IF($U65="","",SUBSTITUTE(SUBSTITUTE($AA65," "&amp;$CR$1443&amp;" "," ")," "&amp;$CR$1444&amp;" "," ")),"")</f>
        <v/>
      </c>
      <c r="BE65" s="581" t="str">
        <f>IF(65=65,IF($U65="","",SUMPRODUCT(--ISNUMBER(SEARCH(" "&amp;$CR$1445:$CR$1455&amp;" ",$BD65)))),"")</f>
        <v/>
      </c>
      <c r="BF65" s="581" t="str">
        <f>IF(65=65,IF($U65="","",IF(BC65&gt;0,"X",IF(BE65&gt;0,"?",""))),"")</f>
        <v/>
      </c>
      <c r="BG65" s="581" t="str">
        <f>IF(65=65,IF($U65="","",SUMPRODUCT(--ISNUMBER(SEARCH(" "&amp;$CR$1456:$CR$1555&amp;" ",$BJ65)))),"")</f>
        <v/>
      </c>
      <c r="BH65" s="581" t="str">
        <f>IF(65=65,IF($U65="","",SUMPRODUCT(--ISNUMBER(SEARCH(" "&amp;$CR$1556:$CR$1655&amp;" ",$BJ65)))),"")</f>
        <v/>
      </c>
      <c r="BI65" s="581" t="str">
        <f>IF(65=65,IF($U65="","",SUMPRODUCT(--ISNUMBER(SEARCH(" "&amp;$CR$1656:$CR$1739&amp;" ",$BJ65)))),"")</f>
        <v/>
      </c>
      <c r="BJ65" s="581"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5" s="581" t="str">
        <f>IF(65=65,IF($U65="","",SUMPRODUCT(--ISNUMBER(SEARCH(" "&amp;$CR$1790:$CR$1869&amp;" ",$BL65)))+SUMPRODUCT(--ISNUMBER(SEARCH(" "&amp;$CR$2440:$CR$2453&amp;" ",$BL65)))),"")</f>
        <v/>
      </c>
      <c r="BL65" s="581"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c>
      <c r="BM65" s="581" t="str">
        <f>IF(65=65,IF($U65="","",IF(SUM(BG65:BI65)+SUMPRODUCT(--ISNUMBER(SEARCH(" "&amp;$CR$2423:$CR$2424&amp;" ",$BJ65)))&gt;0,"X",IF(BK65&gt;0,"?",""))),"")</f>
        <v/>
      </c>
      <c r="BN65" s="581" t="str">
        <f>IF(65=65,IF($U65="","",SUMPRODUCT(--ISNUMBER(SEARCH(" "&amp;$CR$1879:$CR$1936&amp;" ",$BO65)))),"")</f>
        <v/>
      </c>
      <c r="BO65" s="581"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5" s="581" t="str">
        <f>IF(65=65,IF($U65="","",SUMPRODUCT(--ISNUMBER(SEARCH(" "&amp;$CR$1960:$CR$1976&amp;" ",$BO65)))),"")</f>
        <v/>
      </c>
      <c r="BQ65" s="581" t="str">
        <f>IF(65=65,IF($U65="","",IF(BN65&gt;0,"X",IF(BP65&gt;0,"?",""))),"")</f>
        <v/>
      </c>
      <c r="BR65" s="581" t="str">
        <f>IF(65=65,IF($U65="","",SUMPRODUCT(--ISNUMBER(SEARCH(" "&amp;$CR$1977:$CR$1990&amp;" ",$AA65)))),"")</f>
        <v/>
      </c>
      <c r="BS65" s="581" t="str">
        <f>IF(65=65,IF($U65="","",SUMPRODUCT(--ISNUMBER(SEARCH(" "&amp;$CR$1991:$CR$2005&amp;" ",$AA65)))),"")</f>
        <v/>
      </c>
      <c r="BT65" s="581" t="str">
        <f>IF(65=65,IF($U65="","",IF((BR65)-(0)&gt;0,"X",IF((BS65)-(0)&gt;0,"?",""))),"")</f>
        <v/>
      </c>
      <c r="BU65" s="581" t="str">
        <f>IF(65=65,IF($U65="","",SUMPRODUCT(--ISNUMBER(SEARCH(" "&amp;$CR$2006:$CR$2023&amp;" ",$AA65)))),"")</f>
        <v/>
      </c>
      <c r="BV65" s="581" t="str">
        <f>IF(65=65,IF($U65="","",SUMPRODUCT(--ISNUMBER(SEARCH(" "&amp;$CR$2024:$CR$2038&amp;" ",$AA65)))),"")</f>
        <v/>
      </c>
      <c r="BW65" s="581" t="str">
        <f>IF(65=65,IF($U65="","",IF((BU65)-(0)&gt;0,"X",IF((BV65)-(0)&gt;0,"?",""))),"")</f>
        <v/>
      </c>
      <c r="BX65" s="581" t="str">
        <f>IF(65=65,IF($U65="","",SUMPRODUCT(--ISNUMBER(SEARCH(" "&amp;$CR$2039:$CR$2057&amp;" ",$AA65)))),"")</f>
        <v/>
      </c>
      <c r="BY65" s="581" t="str">
        <f>IF(65=65,IF($U65="","",SUMPRODUCT(--ISNUMBER(SEARCH(" "&amp;$CR$2058:$CR$2072&amp;" ",$AA65)))),"")</f>
        <v/>
      </c>
      <c r="BZ65" s="581" t="str">
        <f>IF(65=65,IF($U65="","",IF((BX65)-(0)&gt;0,"X",IF((BY65)-(0)&gt;0,"?",""))),"")</f>
        <v/>
      </c>
      <c r="CA65" s="581" t="str">
        <f>IF(65=65,IF($U65="","",SUMPRODUCT(--ISNUMBER(SEARCH(" "&amp;$CR$2073:$CR$2093&amp;" ",$AA65)))),"")</f>
        <v/>
      </c>
      <c r="CB65" s="581" t="str">
        <f>IF(65=65,IF($U65="","",SUMPRODUCT(--ISNUMBER(SEARCH(" "&amp;$CR$2094:$CR$2133&amp;" ",SUBSTITUTE(SUBSTITUTE($AA65," "&amp;$CR$1367&amp;" "," ")," "&amp;$CR$1366&amp;" "," "))))+--ISNUMBER(SEARCH("poiré",$V65))),"")</f>
        <v/>
      </c>
      <c r="CC65" s="581" t="str">
        <f>IF(65=65,IF($U65="","",IF(OR(CA65&gt;0,ISNUMBER(SEARCH(" vinaigre de vin ",$AA65)),ISNUMBER(SEARCH(" vinaigre au vin ",$AA65))),"X",IF(CB65&gt;0,"?",""))),"")</f>
        <v/>
      </c>
      <c r="CD65" s="581" t="str">
        <f>IF(65=65,IF($U65="","",SUMPRODUCT(--ISNUMBER(SEARCH(" "&amp;$CR$2134:$CR$2146&amp;" ",$AA65)))),"")</f>
        <v/>
      </c>
      <c r="CE65" s="581" t="str">
        <f>IF(65=65,IF($U65="","",SUMPRODUCT(--ISNUMBER(SEARCH(" "&amp;$CR$2147:$CR$2152&amp;" ",$AA65)))),"")</f>
        <v/>
      </c>
      <c r="CF65" s="581" t="str">
        <f>IF(65=65,IF($U65="","",IF((CD65)-(0)&gt;0,"X",IF((CE65)-(0)&gt;0,"?",""))),"")</f>
        <v/>
      </c>
      <c r="CG65" s="581" t="str">
        <f>IF(65=65,IF($U65="","",SUMPRODUCT(--ISNUMBER(SEARCH(" "&amp;$CR$2153:$CR$2252&amp;" ",$CJ65)))),"")</f>
        <v/>
      </c>
      <c r="CH65" s="581" t="str">
        <f>IF(65=65,IF($U65="","",SUMPRODUCT(--ISNUMBER(SEARCH(" "&amp;$CR$2253:$CR$2352&amp;" ",$CJ65)))),"")</f>
        <v/>
      </c>
      <c r="CI65" s="581" t="str">
        <f>IF(65=65,IF($U65="","",SUMPRODUCT(--ISNUMBER(SEARCH(" "&amp;$CR$2353:$CR$2395&amp;" ",$CJ65)))),"")</f>
        <v/>
      </c>
      <c r="CJ65" s="581"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c>
      <c r="CK65" s="581" t="str">
        <f>IF(65=65,IF($U65="","",SUMPRODUCT(--ISNUMBER(SEARCH(" "&amp;$CR$2412:$CR$2416&amp;" ",$CJ65)))),"")</f>
        <v/>
      </c>
      <c r="CL65" s="581" t="str">
        <f>IF(65=65,IF($U65="","",IF(SUM(CG65:CI65)&gt;0,"X",IF(CK65&gt;0,"?",""))),"")</f>
        <v/>
      </c>
      <c r="CM65" s="582"/>
      <c r="CN65" s="584" t="s">
        <v>2143</v>
      </c>
      <c r="CO65" s="584" t="s">
        <v>1887</v>
      </c>
      <c r="CP65" s="584" t="s">
        <v>1888</v>
      </c>
      <c r="CQ65" s="584" t="s">
        <v>2144</v>
      </c>
      <c r="CR65" s="584" t="s">
        <v>2145</v>
      </c>
      <c r="CS65" s="584" t="s">
        <v>1890</v>
      </c>
      <c r="CT65" s="584" t="s">
        <v>1891</v>
      </c>
      <c r="CU65" s="584" t="s">
        <v>1892</v>
      </c>
      <c r="CV65" s="585" t="s">
        <v>1893</v>
      </c>
    </row>
    <row r="66" spans="1:100" ht="21.95" customHeight="1" x14ac:dyDescent="0.25">
      <c r="A66" s="603">
        <v>60</v>
      </c>
      <c r="B66" s="604"/>
      <c r="C66" s="605" t="str">
        <f t="shared" si="0"/>
        <v/>
      </c>
      <c r="D66" s="606"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
      </c>
      <c r="E66" s="607" t="str">
        <f>IF(66=66,IF($B66="","",AF66),"")</f>
        <v/>
      </c>
      <c r="F66" s="607" t="str">
        <f>IF(66=66,IF($B66="","",AI66),"")</f>
        <v/>
      </c>
      <c r="G66" s="607" t="str">
        <f>IF(66=66,IF($B66="","",AM66),"")</f>
        <v/>
      </c>
      <c r="H66" s="607" t="str">
        <f>IF(66=66,IF($B66="","",AZ66),"")</f>
        <v/>
      </c>
      <c r="I66" s="607" t="str">
        <f>IF(66=66,IF($B66="","",BB66),"")</f>
        <v/>
      </c>
      <c r="J66" s="607" t="str">
        <f>IF(66=66,IF($B66="","",BF66),"")</f>
        <v/>
      </c>
      <c r="K66" s="607" t="str">
        <f>IF(66=66,IF($B66="","",BM66),"")</f>
        <v/>
      </c>
      <c r="L66" s="607" t="str">
        <f>IF(66=66,IF($B66="","",BQ66),"")</f>
        <v/>
      </c>
      <c r="M66" s="607" t="str">
        <f>IF(66=66,IF($B66="","",BT66),"")</f>
        <v/>
      </c>
      <c r="N66" s="607" t="str">
        <f>IF(66=66,IF($B66="","",BW66),"")</f>
        <v/>
      </c>
      <c r="O66" s="607" t="str">
        <f>IF(66=66,IF($B66="","",BZ66),"")</f>
        <v/>
      </c>
      <c r="P66" s="607" t="str">
        <f>IF(66=66,IF($B66="","",CC66),"")</f>
        <v/>
      </c>
      <c r="Q66" s="607" t="str">
        <f>IF(66=66,IF($B66="","",CF66),"")</f>
        <v/>
      </c>
      <c r="R66" s="607" t="str">
        <f>IF(66=66,IF($B66="","",CL66),"")</f>
        <v/>
      </c>
      <c r="S66" s="608"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581" t="str">
        <f>IF(66=66,IF($B66="","",$B66),"")</f>
        <v/>
      </c>
      <c r="V66" s="581" t="str">
        <f>IF(66=66,LOWER(CLEAN(SUBSTITUTE(SUBSTITUTE(SUBSTITUTE(SUBSTITUTE($U66,CHAR(160)," ")," "," "),CHAR(10)," "),CHAR(13)," "))),"")</f>
        <v/>
      </c>
      <c r="W66" s="581" t="str">
        <f>IF(66=66,SUBSTITUTE(SUBSTITUTE(SUBSTITUTE(SUBSTITUTE(SUBSTITUTE(SUBSTITUTE(SUBSTITUTE(SUBSTITUTE(SUBSTITUTE(SUBSTITUTE(SUBSTITUTE(SUBSTITUTE($V66,"œ","oe"),"æ","ae"),"à","a"),"á","a"),"â","a"),"ä","a"),"ã","a"),"ç","c"),"è","e"),"é","e"),"ê","e"),"ë","e"),"")</f>
        <v/>
      </c>
      <c r="X66" s="581" t="str">
        <f>IF(66=66,SUBSTITUTE(SUBSTITUTE(SUBSTITUTE(SUBSTITUTE(SUBSTITUTE(SUBSTITUTE(SUBSTITUTE(SUBSTITUTE(SUBSTITUTE(SUBSTITUTE(SUBSTITUTE(SUBSTITUTE(SUBSTITUTE(SUBSTITUTE(SUBSTITUTE(SUBSTITUTE($W66,"ì","i"),"í","i"),"î","i"),"ï","i"),"ñ","n"),"ò","o"),"ó","o"),"ô","o"),"ö","o"),"õ","o"),"ù","u"),"ú","u"),"û","u"),"ü","u"),"ý","y"),"ÿ","y"),"")</f>
        <v/>
      </c>
      <c r="Y66" s="581" t="str">
        <f>IF(66=66,SUBSTITUTE(SUBSTITUTE(SUBSTITUTE(SUBSTITUTE(SUBSTITUTE(SUBSTITUTE(SUBSTITUTE(SUBSTITUTE(SUBSTITUTE(SUBSTITUTE(SUBSTITUTE(SUBSTITUTE(SUBSTITUTE(SUBSTITUTE($X66,"’"," "),"`"," "),"–"," "),"—"," "),"-"," "),"'"," "),"/"," "),"_"," "),","," "),"."," "),"("," "),")"," "),";"," "),":"," "),"")</f>
        <v/>
      </c>
      <c r="Z66" s="581" t="str">
        <f>IF(66=66,SUBSTITUTE(SUBSTITUTE(SUBSTITUTE(SUBSTITUTE(SUBSTITUTE(SUBSTITUTE(SUBSTITUTE(SUBSTITUTE(SUBSTITUTE(SUBSTITUTE(SUBSTITUTE(SUBSTITUTE(SUBSTITUTE(SUBSTITUTE(SUBSTITUTE($Y66,"!"," "),"?"," "),"+"," "),"*"," "),"&amp;"," "),"["," "),"]"," "),"{"," "),"}"," "),"%"," "),"="," "),"\"," "),"|"," "),"&lt;"," "),"&gt;"," "),"")</f>
        <v/>
      </c>
      <c r="AA66" s="581" t="str">
        <f>IF(66=66," "&amp;TRIM(SUBSTITUTE(SUBSTITUTE(SUBSTITUTE(SUBSTITUTE(SUBSTITUTE(SUBSTITUTE($Z66,CHAR(34)," "),"  "," "),"  "," "),"  "," "),"  "," "),"  "," "))&amp;" ","")</f>
        <v xml:space="preserve">  </v>
      </c>
      <c r="AB66" s="581" t="str">
        <f>IF(66=66,IF($U66="","",SUMPRODUCT(--ISNUMBER(SEARCH(" "&amp;$CR$2:$CR$101&amp;" ",$AD66)))),"")</f>
        <v/>
      </c>
      <c r="AC66" s="581" t="str">
        <f>IF(66=66,IF($U66="","",SUMPRODUCT(--ISNUMBER(SEARCH(" "&amp;$CR$102:$CR$151&amp;" ",$AD66)))),"")</f>
        <v/>
      </c>
      <c r="AD66" s="581"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"&amp;$CR$2426&amp;" "," ")," "&amp;$CR$2435&amp;" "," ")," "&amp;$CR$2425&amp;" "," ")," "&amp;$CR$2434&amp;" "," ")," "&amp;$CR$2433&amp;" "," ")," "&amp;$CR$2432&amp;" "," ")," "&amp;$CR$2428&amp;" "," ")," "&amp;$CR$2437&amp;" "," ")," "&amp;$CR$2427&amp;" "," ")," "&amp;$CR$2436&amp;" "," ")," "&amp;$CR$178&amp;" "," ")," "&amp;$CR$160&amp;" "," ")," "&amp;$CR$2431&amp;" "," ")," "&amp;$CR$2430&amp;" "," ")," "&amp;$CR$153&amp;" "," ")," "&amp;$CR$115&amp;" "," ")," "&amp;$CR$156&amp;" "," ")," "&amp;$CR$163&amp;" "," ")," "&amp;$CR$152&amp;" "," ")," "&amp;$CR$164&amp;" "," ")," "&amp;$CR$172&amp;" "," ")," "&amp;$CR$159&amp;" "," ")," "&amp;$CR$161&amp;" "," ")," "&amp;$CR$175&amp;" "," ")," "&amp;$CR$114&amp;" "," ")," "&amp;$CR$157&amp;" "," ")," "&amp;$CR$168&amp;" "," ")," "&amp;$CR$171&amp;" "," ")," "&amp;$CR$2429&amp;" "," ")," "&amp;$CR$148&amp;" "," ")," "&amp;$CR$158&amp;" "," ")," "&amp;$CR$170&amp;" "," ")," "&amp;$CR$162&amp;" "," ")," "&amp;$CR$174&amp;" "," ")," "&amp;$CR$2417&amp;" "," ")," "&amp;$CR$169&amp;" "," ")," "&amp;$CR$173&amp;" "," ")," "&amp;$CR$177&amp;" "," ")," "&amp;$CR$166&amp;" "," ")," "&amp;$CR$176&amp;" "," ")," "&amp;$CR$180&amp;" "," ")," "&amp;#REF!&amp;" "," ")," "&amp;$CR$113&amp;" "," ")," "&amp;$CR$154&amp;" "," ")," "&amp;$CR$155&amp;" "," ")," "&amp;$CR$112&amp;" "," ")," "&amp;$CR$167&amp;" "," ")," "&amp;$CR$182&amp;" "," ")," "&amp;$CR$183&amp;" "," ")," "&amp;$CR$181&amp;" "," ")," "&amp;$CR$179&amp;" "," ")," "&amp;$CR$165&amp;" "," ")),"")</f>
        <v/>
      </c>
      <c r="AE66" s="581" t="str">
        <f>IF(66=66,IF($U66="","",SUMPRODUCT(--ISNUMBER(SEARCH(" "&amp;$CR$184:$CR$205&amp;" ",$AD66)))),"")</f>
        <v/>
      </c>
      <c r="AF66" s="581" t="str">
        <f>IF(66=66,IF($U66="","",IF(SUM(AB66:AC66)+SUMPRODUCT(--ISNUMBER(SEARCH(" "&amp;$CR$2418:$CR$2420&amp;" ",$AD66)))&gt;0,"X",IF(AE66&gt;0,"?",""))),"")</f>
        <v/>
      </c>
      <c r="AG66" s="581" t="str">
        <f>IF(66=66,IF($U66="","",SUMPRODUCT(--ISNUMBER(SEARCH(" "&amp;$CR$206:$CR$305&amp;" ",$AA66)))),"")</f>
        <v/>
      </c>
      <c r="AH66" s="581" t="str">
        <f>IF(66=66,IF($U66="","",SUMPRODUCT(--ISNUMBER(SEARCH(" "&amp;$CR$306:$CR$340&amp;" ",$AA66)))),"")</f>
        <v/>
      </c>
      <c r="AI66" s="581" t="str">
        <f>IF(66=66,IF($U66="","",IF((SUM(AG66:AH66))-(0)&gt;0,"X",IF((0)-(0)&gt;0,"?",""))),"")</f>
        <v/>
      </c>
      <c r="AJ66" s="581" t="str">
        <f>IF(66=66,IF($U66="","",SUMPRODUCT(--ISNUMBER(SEARCH(" "&amp;$CR$341:$CR$398&amp;" ",$AA66)))),"")</f>
        <v/>
      </c>
      <c r="AK66" s="581" t="str">
        <f>IF(66=66,IF($U66="","",SUMPRODUCT(--ISNUMBER(SEARCH(" "&amp;$CR$399:$CR$426&amp;" ",$AL66)))+SUMPRODUCT(--ISNUMBER(SEARCH(" "&amp;$CR$2440:$CR$2453&amp;" ",$AL66)))),"")</f>
        <v/>
      </c>
      <c r="AL66" s="581" t="str">
        <f>IF(66=66,IF($U66="","",SUBSTITUTE(SUBSTITUTE(SUBSTITUTE(SUBSTITUTE(SUBSTITUTE(SUBSTITUTE(SUBSTITUTE(SUBSTITUTE(SUBSTITUTE(SUBSTITUTE(SUBSTITUTE(SUBSTITUTE(SUBSTITUTE($AA66," "&amp;$CR$433&amp;" "," ")," "&amp;$CR$431&amp;" "," ")," "&amp;$CR$2438&amp;" "," ")," "&amp;$CR$2439&amp;" "," ")," "&amp;$CR$428&amp;" "," ")," "&amp;$CR$432&amp;" "," ")," "&amp;$CR$434&amp;" "," ")," "&amp;$CR$429&amp;" "," ")," "&amp;$CR$427&amp;" "," ")," "&amp;$CR$1367&amp;" "," ")," "&amp;$CR$435&amp;" "," ")," "&amp;$CR$1366&amp;" "," ")," "&amp;$CR$430&amp;" "," ")),"")</f>
        <v/>
      </c>
      <c r="AM66" s="581" t="str">
        <f>IF(66=66,IF($U66="","",IF(AJ66&gt;0,"X",IF(AK66&gt;0,"?",""))),"")</f>
        <v/>
      </c>
      <c r="AN66" s="581" t="str">
        <f>IF(66=66,IF($U66="","",SUMPRODUCT(--ISNUMBER(SEARCH(" "&amp;$CR$436:$CR$535&amp;" ",$AX66)))),"")</f>
        <v/>
      </c>
      <c r="AO66" s="581" t="str">
        <f>IF(66=66,IF($U66="","",SUMPRODUCT(--ISNUMBER(SEARCH(" "&amp;$CR$536:$CR$635&amp;" ",$AX66)))),"")</f>
        <v/>
      </c>
      <c r="AP66" s="581" t="str">
        <f>IF(66=66,IF($U66="","",SUMPRODUCT(--ISNUMBER(SEARCH(" "&amp;$CR$636:$CR$735&amp;" ",$AX66)))),"")</f>
        <v/>
      </c>
      <c r="AQ66" s="581" t="str">
        <f>IF(66=66,IF($U66="","",SUMPRODUCT(--ISNUMBER(SEARCH(" "&amp;$CR$736:$CR$835&amp;" ",$AX66)))),"")</f>
        <v/>
      </c>
      <c r="AR66" s="581" t="str">
        <f>IF(66=66,IF($U66="","",SUMPRODUCT(--ISNUMBER(SEARCH(" "&amp;$CR$836:$CR$935&amp;" ",$AX66)))),"")</f>
        <v/>
      </c>
      <c r="AS66" s="581" t="str">
        <f>IF(66=66,IF($U66="","",SUMPRODUCT(--ISNUMBER(SEARCH(" "&amp;$CR$936:$CR$1035&amp;" ",$AX66)))),"")</f>
        <v/>
      </c>
      <c r="AT66" s="581" t="str">
        <f>IF(66=66,IF($U66="","",SUMPRODUCT(--ISNUMBER(SEARCH(" "&amp;$CR$1036:$CR$1135&amp;" ",$AX66)))),"")</f>
        <v/>
      </c>
      <c r="AU66" s="581" t="str">
        <f>IF(66=66,IF($U66="","",SUMPRODUCT(--ISNUMBER(SEARCH(" "&amp;$CR$1136:$CR$1235&amp;" ",$AX66)))),"")</f>
        <v/>
      </c>
      <c r="AV66" s="581" t="str">
        <f>IF(66=66,IF($U66="","",SUMPRODUCT(--ISNUMBER(SEARCH(" "&amp;$CR$1236:$CR$1335&amp;" ",$AX66)))),"")</f>
        <v/>
      </c>
      <c r="AW66" s="581" t="str">
        <f>IF(66=66,IF($U66="","",SUMPRODUCT(--ISNUMBER(SEARCH(" "&amp;$CR$1336:$CR$1363&amp;" ",$AX66)))),"")</f>
        <v/>
      </c>
      <c r="AX66" s="581" t="str">
        <f>IF(66=66,IF($U66="","",SUBSTITUTE(SUBSTITUTE(SUBSTITUTE(SUBSTITUTE(SUBSTITUTE(SUBSTITUTE(SUBSTITUTE(SUBSTITUTE(SUBSTITUTE($AA66," "&amp;$CR$1365&amp;" "," ")," "&amp;$CR$1364&amp;" "," ")," "&amp;$CR$1370&amp;" "," ")," "&amp;$CR$1371&amp;" "," ")," "&amp;$CR$1367&amp;" "," ")," "&amp;$CR$1369&amp;" "," ")," "&amp;$CR$1366&amp;" "," ")," "&amp;$CR$1368&amp;" "," ")," "&amp;$CR$1372&amp;" "," ")),"")</f>
        <v/>
      </c>
      <c r="AY66" s="581" t="str">
        <f>IF(66=66,IF($U66="","",SUMPRODUCT(--ISNUMBER(SEARCH(" "&amp;$CR$1373:$CR$1383&amp;" ",$AX66)))),"")</f>
        <v/>
      </c>
      <c r="AZ66" s="581" t="str">
        <f>IF(66=66,IF($U66="","",IF(SUM(AN66:AW66)+SUMPRODUCT(--ISNUMBER(SEARCH(" "&amp;$CR$2421:$CR$2422&amp;" ",$AX66)))&gt;0,"X",IF(AY66&gt;0,"?",""))),"")</f>
        <v/>
      </c>
      <c r="BA66" s="581" t="str">
        <f>IF(66=66,IF($U66="","",SUMPRODUCT(--ISNUMBER(SEARCH(" "&amp;$CR$1384:$CR$1404&amp;" ",$AA66)))),"")</f>
        <v/>
      </c>
      <c r="BB66" s="581" t="str">
        <f>IF(66=66,IF($U66="","",IF((BA66)-(0)&gt;0,"X",IF((0)-(0)&gt;0,"?",""))),"")</f>
        <v/>
      </c>
      <c r="BC66" s="581" t="str">
        <f>IF(66=66,IF($U66="","",SUMPRODUCT(--ISNUMBER(SEARCH(" "&amp;$CR$1405:$CR$1442&amp;" ",$BD66)))),"")</f>
        <v/>
      </c>
      <c r="BD66" s="581" t="str">
        <f>IF(66=66,IF($U66="","",SUBSTITUTE(SUBSTITUTE($AA66," "&amp;$CR$1443&amp;" "," ")," "&amp;$CR$1444&amp;" "," ")),"")</f>
        <v/>
      </c>
      <c r="BE66" s="581" t="str">
        <f>IF(66=66,IF($U66="","",SUMPRODUCT(--ISNUMBER(SEARCH(" "&amp;$CR$1445:$CR$1455&amp;" ",$BD66)))),"")</f>
        <v/>
      </c>
      <c r="BF66" s="581" t="str">
        <f>IF(66=66,IF($U66="","",IF(BC66&gt;0,"X",IF(BE66&gt;0,"?",""))),"")</f>
        <v/>
      </c>
      <c r="BG66" s="581" t="str">
        <f>IF(66=66,IF($U66="","",SUMPRODUCT(--ISNUMBER(SEARCH(" "&amp;$CR$1456:$CR$1555&amp;" ",$BJ66)))),"")</f>
        <v/>
      </c>
      <c r="BH66" s="581" t="str">
        <f>IF(66=66,IF($U66="","",SUMPRODUCT(--ISNUMBER(SEARCH(" "&amp;$CR$1556:$CR$1655&amp;" ",$BJ66)))),"")</f>
        <v/>
      </c>
      <c r="BI66" s="581" t="str">
        <f>IF(66=66,IF($U66="","",SUMPRODUCT(--ISNUMBER(SEARCH(" "&amp;$CR$1656:$CR$1739&amp;" ",$BJ66)))),"")</f>
        <v/>
      </c>
      <c r="BJ66" s="581"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66" s="581" t="str">
        <f>IF(66=66,IF($U66="","",SUMPRODUCT(--ISNUMBER(SEARCH(" "&amp;$CR$1790:$CR$1869&amp;" ",$BL66)))+SUMPRODUCT(--ISNUMBER(SEARCH(" "&amp;$CR$2440:$CR$2453&amp;" ",$BL66)))),"")</f>
        <v/>
      </c>
      <c r="BL66" s="581"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c>
      <c r="BM66" s="581" t="str">
        <f>IF(66=66,IF($U66="","",IF(SUM(BG66:BI66)+SUMPRODUCT(--ISNUMBER(SEARCH(" "&amp;$CR$2423:$CR$2424&amp;" ",$BJ66)))&gt;0,"X",IF(BK66&gt;0,"?",""))),"")</f>
        <v/>
      </c>
      <c r="BN66" s="581" t="str">
        <f>IF(66=66,IF($U66="","",SUMPRODUCT(--ISNUMBER(SEARCH(" "&amp;$CR$1879:$CR$1936&amp;" ",$BO66)))),"")</f>
        <v/>
      </c>
      <c r="BO66" s="581"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66" s="581" t="str">
        <f>IF(66=66,IF($U66="","",SUMPRODUCT(--ISNUMBER(SEARCH(" "&amp;$CR$1960:$CR$1976&amp;" ",$BO66)))),"")</f>
        <v/>
      </c>
      <c r="BQ66" s="581" t="str">
        <f>IF(66=66,IF($U66="","",IF(BN66&gt;0,"X",IF(BP66&gt;0,"?",""))),"")</f>
        <v/>
      </c>
      <c r="BR66" s="581" t="str">
        <f>IF(66=66,IF($U66="","",SUMPRODUCT(--ISNUMBER(SEARCH(" "&amp;$CR$1977:$CR$1990&amp;" ",$AA66)))),"")</f>
        <v/>
      </c>
      <c r="BS66" s="581" t="str">
        <f>IF(66=66,IF($U66="","",SUMPRODUCT(--ISNUMBER(SEARCH(" "&amp;$CR$1991:$CR$2005&amp;" ",$AA66)))),"")</f>
        <v/>
      </c>
      <c r="BT66" s="581" t="str">
        <f>IF(66=66,IF($U66="","",IF((BR66)-(0)&gt;0,"X",IF((BS66)-(0)&gt;0,"?",""))),"")</f>
        <v/>
      </c>
      <c r="BU66" s="581" t="str">
        <f>IF(66=66,IF($U66="","",SUMPRODUCT(--ISNUMBER(SEARCH(" "&amp;$CR$2006:$CR$2023&amp;" ",$AA66)))),"")</f>
        <v/>
      </c>
      <c r="BV66" s="581" t="str">
        <f>IF(66=66,IF($U66="","",SUMPRODUCT(--ISNUMBER(SEARCH(" "&amp;$CR$2024:$CR$2038&amp;" ",$AA66)))),"")</f>
        <v/>
      </c>
      <c r="BW66" s="581" t="str">
        <f>IF(66=66,IF($U66="","",IF((BU66)-(0)&gt;0,"X",IF((BV66)-(0)&gt;0,"?",""))),"")</f>
        <v/>
      </c>
      <c r="BX66" s="581" t="str">
        <f>IF(66=66,IF($U66="","",SUMPRODUCT(--ISNUMBER(SEARCH(" "&amp;$CR$2039:$CR$2057&amp;" ",$AA66)))),"")</f>
        <v/>
      </c>
      <c r="BY66" s="581" t="str">
        <f>IF(66=66,IF($U66="","",SUMPRODUCT(--ISNUMBER(SEARCH(" "&amp;$CR$2058:$CR$2072&amp;" ",$AA66)))),"")</f>
        <v/>
      </c>
      <c r="BZ66" s="581" t="str">
        <f>IF(66=66,IF($U66="","",IF((BX66)-(0)&gt;0,"X",IF((BY66)-(0)&gt;0,"?",""))),"")</f>
        <v/>
      </c>
      <c r="CA66" s="581" t="str">
        <f>IF(66=66,IF($U66="","",SUMPRODUCT(--ISNUMBER(SEARCH(" "&amp;$CR$2073:$CR$2093&amp;" ",$AA66)))),"")</f>
        <v/>
      </c>
      <c r="CB66" s="581" t="str">
        <f>IF(66=66,IF($U66="","",SUMPRODUCT(--ISNUMBER(SEARCH(" "&amp;$CR$2094:$CR$2133&amp;" ",SUBSTITUTE(SUBSTITUTE($AA66," "&amp;$CR$1367&amp;" "," ")," "&amp;$CR$1366&amp;" "," "))))+--ISNUMBER(SEARCH("poiré",$V66))),"")</f>
        <v/>
      </c>
      <c r="CC66" s="581" t="str">
        <f>IF(66=66,IF($U66="","",IF(OR(CA66&gt;0,ISNUMBER(SEARCH(" vinaigre de vin ",$AA66)),ISNUMBER(SEARCH(" vinaigre au vin ",$AA66))),"X",IF(CB66&gt;0,"?",""))),"")</f>
        <v/>
      </c>
      <c r="CD66" s="581" t="str">
        <f>IF(66=66,IF($U66="","",SUMPRODUCT(--ISNUMBER(SEARCH(" "&amp;$CR$2134:$CR$2146&amp;" ",$AA66)))),"")</f>
        <v/>
      </c>
      <c r="CE66" s="581" t="str">
        <f>IF(66=66,IF($U66="","",SUMPRODUCT(--ISNUMBER(SEARCH(" "&amp;$CR$2147:$CR$2152&amp;" ",$AA66)))),"")</f>
        <v/>
      </c>
      <c r="CF66" s="581" t="str">
        <f>IF(66=66,IF($U66="","",IF((CD66)-(0)&gt;0,"X",IF((CE66)-(0)&gt;0,"?",""))),"")</f>
        <v/>
      </c>
      <c r="CG66" s="581" t="str">
        <f>IF(66=66,IF($U66="","",SUMPRODUCT(--ISNUMBER(SEARCH(" "&amp;$CR$2153:$CR$2252&amp;" ",$CJ66)))),"")</f>
        <v/>
      </c>
      <c r="CH66" s="581" t="str">
        <f>IF(66=66,IF($U66="","",SUMPRODUCT(--ISNUMBER(SEARCH(" "&amp;$CR$2253:$CR$2352&amp;" ",$CJ66)))),"")</f>
        <v/>
      </c>
      <c r="CI66" s="581" t="str">
        <f>IF(66=66,IF($U66="","",SUMPRODUCT(--ISNUMBER(SEARCH(" "&amp;$CR$2353:$CR$2395&amp;" ",$CJ66)))),"")</f>
        <v/>
      </c>
      <c r="CJ66" s="581"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c>
      <c r="CK66" s="581" t="str">
        <f>IF(66=66,IF($U66="","",SUMPRODUCT(--ISNUMBER(SEARCH(" "&amp;$CR$2412:$CR$2416&amp;" ",$CJ66)))),"")</f>
        <v/>
      </c>
      <c r="CL66" s="581" t="str">
        <f>IF(66=66,IF($U66="","",IF(SUM(CG66:CI66)&gt;0,"X",IF(CK66&gt;0,"?",""))),"")</f>
        <v/>
      </c>
      <c r="CM66" s="582"/>
      <c r="CN66" s="584" t="s">
        <v>2146</v>
      </c>
      <c r="CO66" s="584" t="s">
        <v>1887</v>
      </c>
      <c r="CP66" s="584" t="s">
        <v>1888</v>
      </c>
      <c r="CQ66" s="584" t="s">
        <v>2147</v>
      </c>
      <c r="CR66" s="584" t="s">
        <v>2148</v>
      </c>
      <c r="CS66" s="584" t="s">
        <v>1890</v>
      </c>
      <c r="CT66" s="584" t="s">
        <v>1891</v>
      </c>
      <c r="CU66" s="584" t="s">
        <v>1892</v>
      </c>
      <c r="CV66" s="585" t="s">
        <v>1893</v>
      </c>
    </row>
    <row r="67" spans="1:100" ht="15.75" x14ac:dyDescent="0.25">
      <c r="A67" s="586"/>
      <c r="B67" s="609"/>
      <c r="C67" s="610"/>
      <c r="D67" s="610"/>
      <c r="E67" s="586"/>
      <c r="F67" s="586"/>
      <c r="G67" s="586"/>
      <c r="H67" s="586"/>
      <c r="I67" s="586"/>
      <c r="J67" s="586"/>
      <c r="K67" s="586"/>
      <c r="L67" s="586"/>
      <c r="M67" s="586"/>
      <c r="N67" s="586"/>
      <c r="O67" s="586"/>
      <c r="P67" s="586"/>
      <c r="Q67" s="586"/>
      <c r="R67" s="586"/>
      <c r="S67" s="586"/>
      <c r="CM67" s="582"/>
      <c r="CN67" s="584" t="s">
        <v>2149</v>
      </c>
      <c r="CO67" s="584" t="s">
        <v>1887</v>
      </c>
      <c r="CP67" s="584" t="s">
        <v>1888</v>
      </c>
      <c r="CQ67" s="584" t="s">
        <v>1104</v>
      </c>
      <c r="CR67" s="584" t="s">
        <v>1104</v>
      </c>
      <c r="CS67" s="584" t="s">
        <v>1890</v>
      </c>
      <c r="CT67" s="584" t="s">
        <v>1891</v>
      </c>
      <c r="CU67" s="584" t="s">
        <v>1892</v>
      </c>
      <c r="CV67" s="585" t="s">
        <v>1893</v>
      </c>
    </row>
    <row r="68" spans="1:100" ht="15.75" x14ac:dyDescent="0.25">
      <c r="A68" s="586"/>
      <c r="B68" s="609"/>
      <c r="C68" s="610"/>
      <c r="D68" s="610"/>
      <c r="E68" s="586"/>
      <c r="F68" s="586"/>
      <c r="G68" s="586"/>
      <c r="H68" s="586"/>
      <c r="I68" s="586"/>
      <c r="J68" s="586"/>
      <c r="K68" s="586"/>
      <c r="L68" s="586"/>
      <c r="M68" s="586"/>
      <c r="N68" s="586"/>
      <c r="O68" s="586"/>
      <c r="P68" s="586"/>
      <c r="Q68" s="586"/>
      <c r="R68" s="586"/>
      <c r="S68" s="586"/>
      <c r="CM68" s="582"/>
      <c r="CN68" s="584" t="s">
        <v>2150</v>
      </c>
      <c r="CO68" s="584" t="s">
        <v>1887</v>
      </c>
      <c r="CP68" s="584" t="s">
        <v>1888</v>
      </c>
      <c r="CQ68" s="584" t="s">
        <v>2151</v>
      </c>
      <c r="CR68" s="584" t="s">
        <v>2152</v>
      </c>
      <c r="CS68" s="584" t="s">
        <v>1890</v>
      </c>
      <c r="CT68" s="584" t="s">
        <v>1891</v>
      </c>
      <c r="CU68" s="584" t="s">
        <v>1892</v>
      </c>
      <c r="CV68" s="585" t="s">
        <v>1893</v>
      </c>
    </row>
    <row r="69" spans="1:100" ht="15.75" x14ac:dyDescent="0.25">
      <c r="A69" s="586"/>
      <c r="B69" s="609"/>
      <c r="C69" s="610"/>
      <c r="D69" s="610"/>
      <c r="E69" s="586"/>
      <c r="F69" s="586"/>
      <c r="G69" s="586"/>
      <c r="H69" s="586"/>
      <c r="I69" s="586"/>
      <c r="J69" s="586"/>
      <c r="K69" s="586"/>
      <c r="L69" s="586"/>
      <c r="M69" s="586"/>
      <c r="N69" s="586"/>
      <c r="O69" s="586"/>
      <c r="P69" s="586"/>
      <c r="Q69" s="586"/>
      <c r="R69" s="586"/>
      <c r="S69" s="586"/>
      <c r="CM69" s="582"/>
      <c r="CN69" s="584" t="s">
        <v>2153</v>
      </c>
      <c r="CO69" s="584" t="s">
        <v>1887</v>
      </c>
      <c r="CP69" s="584" t="s">
        <v>1888</v>
      </c>
      <c r="CQ69" s="584" t="s">
        <v>2154</v>
      </c>
      <c r="CR69" s="584" t="s">
        <v>2155</v>
      </c>
      <c r="CS69" s="584" t="s">
        <v>1890</v>
      </c>
      <c r="CT69" s="584" t="s">
        <v>1891</v>
      </c>
      <c r="CU69" s="584" t="s">
        <v>1892</v>
      </c>
      <c r="CV69" s="585" t="s">
        <v>1893</v>
      </c>
    </row>
    <row r="70" spans="1:100" ht="27.95" customHeight="1" x14ac:dyDescent="0.25">
      <c r="A70" s="723" t="s">
        <v>2156</v>
      </c>
      <c r="B70" s="723"/>
      <c r="C70" s="723"/>
      <c r="D70" s="723"/>
      <c r="E70" s="723"/>
      <c r="F70" s="723"/>
      <c r="G70" s="723"/>
      <c r="H70" s="723"/>
      <c r="I70" s="723"/>
      <c r="J70" s="723"/>
      <c r="K70" s="723"/>
      <c r="L70" s="723"/>
      <c r="M70" s="723"/>
      <c r="N70" s="723"/>
      <c r="O70" s="723"/>
      <c r="P70" s="723"/>
      <c r="Q70" s="723"/>
      <c r="R70" s="723"/>
      <c r="S70" s="723"/>
      <c r="CM70" s="582"/>
      <c r="CN70" s="584" t="s">
        <v>2157</v>
      </c>
      <c r="CO70" s="584" t="s">
        <v>1887</v>
      </c>
      <c r="CP70" s="584" t="s">
        <v>1888</v>
      </c>
      <c r="CQ70" s="584" t="s">
        <v>2158</v>
      </c>
      <c r="CR70" s="584" t="s">
        <v>2158</v>
      </c>
      <c r="CS70" s="584" t="s">
        <v>1890</v>
      </c>
      <c r="CT70" s="584" t="s">
        <v>1891</v>
      </c>
      <c r="CU70" s="584" t="s">
        <v>1892</v>
      </c>
      <c r="CV70" s="585" t="s">
        <v>1893</v>
      </c>
    </row>
    <row r="71" spans="1:100" ht="15.75" x14ac:dyDescent="0.25">
      <c r="A71" s="586"/>
      <c r="B71" s="609"/>
      <c r="C71" s="610"/>
      <c r="D71" s="610"/>
      <c r="E71" s="586"/>
      <c r="F71" s="586"/>
      <c r="G71" s="586"/>
      <c r="H71" s="586"/>
      <c r="I71" s="586"/>
      <c r="J71" s="586"/>
      <c r="K71" s="586"/>
      <c r="L71" s="586"/>
      <c r="M71" s="586"/>
      <c r="N71" s="586"/>
      <c r="O71" s="586"/>
      <c r="P71" s="586"/>
      <c r="Q71" s="586"/>
      <c r="R71" s="586"/>
      <c r="S71" s="586"/>
      <c r="CM71" s="582"/>
      <c r="CN71" s="584" t="s">
        <v>2159</v>
      </c>
      <c r="CO71" s="584" t="s">
        <v>1887</v>
      </c>
      <c r="CP71" s="584" t="s">
        <v>1888</v>
      </c>
      <c r="CQ71" s="584" t="s">
        <v>2160</v>
      </c>
      <c r="CR71" s="584" t="s">
        <v>2160</v>
      </c>
      <c r="CS71" s="584" t="s">
        <v>1890</v>
      </c>
      <c r="CT71" s="584" t="s">
        <v>1891</v>
      </c>
      <c r="CU71" s="584" t="s">
        <v>1892</v>
      </c>
      <c r="CV71" s="585" t="s">
        <v>1893</v>
      </c>
    </row>
    <row r="72" spans="1:100" ht="31.5" x14ac:dyDescent="0.25">
      <c r="A72" s="586"/>
      <c r="B72" s="609"/>
      <c r="C72" s="610" t="s">
        <v>2161</v>
      </c>
      <c r="D72" s="610"/>
      <c r="E72" s="586"/>
      <c r="F72" s="586"/>
      <c r="G72" s="586"/>
      <c r="H72" s="586"/>
      <c r="I72" s="586"/>
      <c r="J72" s="586"/>
      <c r="K72" s="586"/>
      <c r="L72" s="586"/>
      <c r="M72" s="586"/>
      <c r="N72" s="586"/>
      <c r="O72" s="586"/>
      <c r="P72" s="586"/>
      <c r="Q72" s="586"/>
      <c r="R72" s="586"/>
      <c r="S72" s="586"/>
      <c r="CM72" s="582"/>
      <c r="CN72" s="584" t="s">
        <v>2162</v>
      </c>
      <c r="CO72" s="584" t="s">
        <v>1887</v>
      </c>
      <c r="CP72" s="584" t="s">
        <v>1888</v>
      </c>
      <c r="CQ72" s="584" t="s">
        <v>2163</v>
      </c>
      <c r="CR72" s="584" t="s">
        <v>2163</v>
      </c>
      <c r="CS72" s="584" t="s">
        <v>1890</v>
      </c>
      <c r="CT72" s="584" t="s">
        <v>1891</v>
      </c>
      <c r="CU72" s="584" t="s">
        <v>1892</v>
      </c>
      <c r="CV72" s="585" t="s">
        <v>1893</v>
      </c>
    </row>
    <row r="73" spans="1:100" ht="31.5" x14ac:dyDescent="0.25">
      <c r="A73" s="586"/>
      <c r="B73" s="609"/>
      <c r="C73" s="610" t="s">
        <v>2164</v>
      </c>
      <c r="D73" s="610"/>
      <c r="E73" s="586"/>
      <c r="F73" s="586"/>
      <c r="G73" s="586"/>
      <c r="H73" s="586"/>
      <c r="I73" s="586"/>
      <c r="J73" s="586"/>
      <c r="K73" s="586"/>
      <c r="L73" s="586"/>
      <c r="M73" s="586"/>
      <c r="N73" s="586"/>
      <c r="O73" s="586"/>
      <c r="P73" s="586"/>
      <c r="Q73" s="586"/>
      <c r="R73" s="586"/>
      <c r="S73" s="586"/>
      <c r="CM73" s="582"/>
      <c r="CN73" s="584" t="s">
        <v>2165</v>
      </c>
      <c r="CO73" s="584" t="s">
        <v>1887</v>
      </c>
      <c r="CP73" s="584" t="s">
        <v>1888</v>
      </c>
      <c r="CQ73" s="584" t="s">
        <v>2166</v>
      </c>
      <c r="CR73" s="584" t="s">
        <v>2166</v>
      </c>
      <c r="CS73" s="584" t="s">
        <v>1890</v>
      </c>
      <c r="CT73" s="584" t="s">
        <v>1891</v>
      </c>
      <c r="CU73" s="584" t="s">
        <v>1892</v>
      </c>
      <c r="CV73" s="585" t="s">
        <v>1893</v>
      </c>
    </row>
    <row r="74" spans="1:100" ht="47.25" x14ac:dyDescent="0.25">
      <c r="A74" s="586"/>
      <c r="B74" s="609"/>
      <c r="C74" s="610" t="s">
        <v>2167</v>
      </c>
      <c r="D74" s="610"/>
      <c r="E74" s="586"/>
      <c r="F74" s="586"/>
      <c r="G74" s="586"/>
      <c r="H74" s="586"/>
      <c r="I74" s="586"/>
      <c r="J74" s="586"/>
      <c r="K74" s="586"/>
      <c r="L74" s="586"/>
      <c r="M74" s="586"/>
      <c r="N74" s="586"/>
      <c r="O74" s="586"/>
      <c r="P74" s="586"/>
      <c r="Q74" s="586"/>
      <c r="R74" s="586"/>
      <c r="S74" s="586"/>
      <c r="CM74" s="582"/>
      <c r="CN74" s="584" t="s">
        <v>2168</v>
      </c>
      <c r="CO74" s="584" t="s">
        <v>1887</v>
      </c>
      <c r="CP74" s="584" t="s">
        <v>1888</v>
      </c>
      <c r="CQ74" s="584" t="s">
        <v>2169</v>
      </c>
      <c r="CR74" s="584" t="s">
        <v>2169</v>
      </c>
      <c r="CS74" s="584" t="s">
        <v>1890</v>
      </c>
      <c r="CT74" s="584" t="s">
        <v>1891</v>
      </c>
      <c r="CU74" s="584" t="s">
        <v>1892</v>
      </c>
      <c r="CV74" s="585" t="s">
        <v>1893</v>
      </c>
    </row>
    <row r="75" spans="1:100" ht="47.25" x14ac:dyDescent="0.25">
      <c r="A75" s="586"/>
      <c r="B75" s="609"/>
      <c r="C75" s="610" t="s">
        <v>2170</v>
      </c>
      <c r="D75" s="610"/>
      <c r="E75" s="586"/>
      <c r="F75" s="586"/>
      <c r="G75" s="586"/>
      <c r="H75" s="586"/>
      <c r="I75" s="586"/>
      <c r="J75" s="586"/>
      <c r="K75" s="586"/>
      <c r="L75" s="586"/>
      <c r="M75" s="586"/>
      <c r="N75" s="586"/>
      <c r="O75" s="586"/>
      <c r="P75" s="586"/>
      <c r="Q75" s="586"/>
      <c r="R75" s="586"/>
      <c r="S75" s="586"/>
      <c r="CM75" s="582"/>
      <c r="CN75" s="584" t="s">
        <v>2171</v>
      </c>
      <c r="CO75" s="584" t="s">
        <v>1887</v>
      </c>
      <c r="CP75" s="584" t="s">
        <v>1888</v>
      </c>
      <c r="CQ75" s="584" t="s">
        <v>2172</v>
      </c>
      <c r="CR75" s="584" t="s">
        <v>2172</v>
      </c>
      <c r="CS75" s="584" t="s">
        <v>1890</v>
      </c>
      <c r="CT75" s="584" t="s">
        <v>1891</v>
      </c>
      <c r="CU75" s="584" t="s">
        <v>1892</v>
      </c>
      <c r="CV75" s="585" t="s">
        <v>1893</v>
      </c>
    </row>
    <row r="76" spans="1:100" ht="47.25" x14ac:dyDescent="0.25">
      <c r="A76" s="586"/>
      <c r="B76" s="609"/>
      <c r="C76" s="610" t="s">
        <v>2173</v>
      </c>
      <c r="D76" s="610"/>
      <c r="E76" s="586"/>
      <c r="F76" s="586"/>
      <c r="G76" s="586"/>
      <c r="H76" s="586"/>
      <c r="I76" s="586"/>
      <c r="J76" s="586"/>
      <c r="K76" s="586"/>
      <c r="L76" s="586"/>
      <c r="M76" s="586"/>
      <c r="N76" s="586"/>
      <c r="O76" s="586"/>
      <c r="P76" s="586"/>
      <c r="Q76" s="586"/>
      <c r="R76" s="586"/>
      <c r="S76" s="586"/>
      <c r="CM76" s="582"/>
      <c r="CN76" s="584" t="s">
        <v>2174</v>
      </c>
      <c r="CO76" s="584" t="s">
        <v>1887</v>
      </c>
      <c r="CP76" s="584" t="s">
        <v>1888</v>
      </c>
      <c r="CQ76" s="584" t="s">
        <v>2175</v>
      </c>
      <c r="CR76" s="584" t="s">
        <v>2175</v>
      </c>
      <c r="CS76" s="584" t="s">
        <v>1890</v>
      </c>
      <c r="CT76" s="584" t="s">
        <v>1891</v>
      </c>
      <c r="CU76" s="584" t="s">
        <v>1892</v>
      </c>
      <c r="CV76" s="585" t="s">
        <v>1893</v>
      </c>
    </row>
    <row r="77" spans="1:100" ht="47.25" x14ac:dyDescent="0.25">
      <c r="A77" s="586"/>
      <c r="B77" s="609"/>
      <c r="C77" s="610" t="s">
        <v>2176</v>
      </c>
      <c r="D77" s="610"/>
      <c r="E77" s="586"/>
      <c r="F77" s="586"/>
      <c r="G77" s="586"/>
      <c r="H77" s="586"/>
      <c r="I77" s="586"/>
      <c r="J77" s="586"/>
      <c r="K77" s="586"/>
      <c r="L77" s="586"/>
      <c r="M77" s="586"/>
      <c r="N77" s="586"/>
      <c r="O77" s="586"/>
      <c r="P77" s="586"/>
      <c r="Q77" s="586"/>
      <c r="R77" s="586"/>
      <c r="S77" s="586"/>
      <c r="CM77" s="582"/>
      <c r="CN77" s="584" t="s">
        <v>2177</v>
      </c>
      <c r="CO77" s="584" t="s">
        <v>1887</v>
      </c>
      <c r="CP77" s="584" t="s">
        <v>1888</v>
      </c>
      <c r="CQ77" s="584" t="s">
        <v>2178</v>
      </c>
      <c r="CR77" s="584" t="s">
        <v>2178</v>
      </c>
      <c r="CS77" s="584" t="s">
        <v>1890</v>
      </c>
      <c r="CT77" s="584" t="s">
        <v>1891</v>
      </c>
      <c r="CU77" s="584" t="s">
        <v>1892</v>
      </c>
      <c r="CV77" s="585" t="s">
        <v>1893</v>
      </c>
    </row>
    <row r="78" spans="1:100" ht="15.75" x14ac:dyDescent="0.25">
      <c r="A78" s="586"/>
      <c r="B78" s="609"/>
      <c r="C78" s="610"/>
      <c r="D78" s="610"/>
      <c r="E78" s="586"/>
      <c r="F78" s="586"/>
      <c r="G78" s="586"/>
      <c r="H78" s="586"/>
      <c r="I78" s="586"/>
      <c r="J78" s="586"/>
      <c r="K78" s="586"/>
      <c r="L78" s="586"/>
      <c r="M78" s="586"/>
      <c r="N78" s="586"/>
      <c r="O78" s="586"/>
      <c r="P78" s="586"/>
      <c r="Q78" s="586"/>
      <c r="R78" s="586"/>
      <c r="S78" s="586"/>
      <c r="CM78" s="582"/>
      <c r="CN78" s="584" t="s">
        <v>2179</v>
      </c>
      <c r="CO78" s="584" t="s">
        <v>1887</v>
      </c>
      <c r="CP78" s="584" t="s">
        <v>1888</v>
      </c>
      <c r="CQ78" s="584" t="s">
        <v>2180</v>
      </c>
      <c r="CR78" s="584" t="s">
        <v>2180</v>
      </c>
      <c r="CS78" s="584" t="s">
        <v>1890</v>
      </c>
      <c r="CT78" s="584" t="s">
        <v>1891</v>
      </c>
      <c r="CU78" s="584" t="s">
        <v>1892</v>
      </c>
      <c r="CV78" s="585" t="s">
        <v>1893</v>
      </c>
    </row>
    <row r="79" spans="1:100" ht="25.5" x14ac:dyDescent="0.25">
      <c r="A79" s="586"/>
      <c r="B79" s="609"/>
      <c r="C79" s="610"/>
      <c r="D79" s="610"/>
      <c r="E79" s="586"/>
      <c r="F79" s="586"/>
      <c r="G79" s="586"/>
      <c r="H79" s="586"/>
      <c r="I79" s="586"/>
      <c r="J79" s="586"/>
      <c r="K79" s="586"/>
      <c r="L79" s="586"/>
      <c r="M79" s="586"/>
      <c r="N79" s="586"/>
      <c r="O79" s="586"/>
      <c r="P79" s="586"/>
      <c r="Q79" s="586"/>
      <c r="R79" s="586"/>
      <c r="S79" s="586"/>
      <c r="CM79" s="582"/>
      <c r="CN79" s="584" t="s">
        <v>2181</v>
      </c>
      <c r="CO79" s="584" t="s">
        <v>1887</v>
      </c>
      <c r="CP79" s="584" t="s">
        <v>1888</v>
      </c>
      <c r="CQ79" s="584" t="s">
        <v>2182</v>
      </c>
      <c r="CR79" s="584" t="s">
        <v>2183</v>
      </c>
      <c r="CS79" s="584" t="s">
        <v>1890</v>
      </c>
      <c r="CT79" s="584" t="s">
        <v>2184</v>
      </c>
      <c r="CU79" s="584" t="s">
        <v>2185</v>
      </c>
      <c r="CV79" s="585" t="s">
        <v>1980</v>
      </c>
    </row>
    <row r="80" spans="1:100" ht="27.95" customHeight="1" x14ac:dyDescent="0.25">
      <c r="A80" s="723" t="s">
        <v>2186</v>
      </c>
      <c r="B80" s="723"/>
      <c r="C80" s="723"/>
      <c r="D80" s="723"/>
      <c r="E80" s="723"/>
      <c r="F80" s="723"/>
      <c r="G80" s="723"/>
      <c r="H80" s="723"/>
      <c r="I80" s="723"/>
      <c r="J80" s="723"/>
      <c r="K80" s="723"/>
      <c r="L80" s="723"/>
      <c r="M80" s="723"/>
      <c r="N80" s="723"/>
      <c r="O80" s="723"/>
      <c r="P80" s="723"/>
      <c r="Q80" s="723"/>
      <c r="R80" s="723"/>
      <c r="S80" s="723"/>
      <c r="CM80" s="582"/>
      <c r="CN80" s="584" t="s">
        <v>2187</v>
      </c>
      <c r="CO80" s="584" t="s">
        <v>1887</v>
      </c>
      <c r="CP80" s="584" t="s">
        <v>1888</v>
      </c>
      <c r="CQ80" s="584" t="s">
        <v>2188</v>
      </c>
      <c r="CR80" s="584" t="s">
        <v>2188</v>
      </c>
      <c r="CS80" s="584" t="s">
        <v>1890</v>
      </c>
      <c r="CT80" s="584" t="s">
        <v>1891</v>
      </c>
      <c r="CU80" s="584" t="s">
        <v>1892</v>
      </c>
      <c r="CV80" s="585" t="s">
        <v>1893</v>
      </c>
    </row>
    <row r="81" spans="1:100" ht="32.1" customHeight="1" x14ac:dyDescent="0.25">
      <c r="A81" s="611" t="s">
        <v>2189</v>
      </c>
      <c r="B81" s="612" t="s">
        <v>2190</v>
      </c>
      <c r="C81" s="613" t="s">
        <v>2191</v>
      </c>
      <c r="D81" s="614" t="s">
        <v>2192</v>
      </c>
      <c r="E81" s="586"/>
      <c r="F81" s="586"/>
      <c r="G81" s="586"/>
      <c r="H81" s="586"/>
      <c r="I81" s="586"/>
      <c r="J81" s="586"/>
      <c r="K81" s="586"/>
      <c r="L81" s="586"/>
      <c r="M81" s="586"/>
      <c r="N81" s="586"/>
      <c r="O81" s="586"/>
      <c r="P81" s="586"/>
      <c r="Q81" s="586"/>
      <c r="R81" s="586"/>
      <c r="S81" s="586"/>
      <c r="CM81" s="582"/>
      <c r="CN81" s="584" t="s">
        <v>2193</v>
      </c>
      <c r="CO81" s="584" t="s">
        <v>1887</v>
      </c>
      <c r="CP81" s="584" t="s">
        <v>1888</v>
      </c>
      <c r="CQ81" s="584" t="s">
        <v>2194</v>
      </c>
      <c r="CR81" s="584" t="s">
        <v>2194</v>
      </c>
      <c r="CS81" s="584" t="s">
        <v>1890</v>
      </c>
      <c r="CT81" s="584" t="s">
        <v>1891</v>
      </c>
      <c r="CU81" s="584" t="s">
        <v>1892</v>
      </c>
      <c r="CV81" s="585" t="s">
        <v>1893</v>
      </c>
    </row>
    <row r="82" spans="1:100" ht="15.75" x14ac:dyDescent="0.25">
      <c r="A82" s="615">
        <v>1</v>
      </c>
      <c r="B82" s="616" t="s">
        <v>2195</v>
      </c>
      <c r="C82" s="617" t="s">
        <v>2196</v>
      </c>
      <c r="D82" s="618" t="s">
        <v>2197</v>
      </c>
      <c r="E82" s="586"/>
      <c r="F82" s="586"/>
      <c r="G82" s="586"/>
      <c r="H82" s="586"/>
      <c r="I82" s="586"/>
      <c r="J82" s="586"/>
      <c r="K82" s="586"/>
      <c r="L82" s="586"/>
      <c r="M82" s="586"/>
      <c r="N82" s="586"/>
      <c r="O82" s="586"/>
      <c r="P82" s="586"/>
      <c r="Q82" s="586"/>
      <c r="R82" s="586"/>
      <c r="S82" s="586"/>
      <c r="CM82" s="582"/>
      <c r="CN82" s="584" t="s">
        <v>2198</v>
      </c>
      <c r="CO82" s="584" t="s">
        <v>1887</v>
      </c>
      <c r="CP82" s="584" t="s">
        <v>1888</v>
      </c>
      <c r="CQ82" s="584" t="s">
        <v>2199</v>
      </c>
      <c r="CR82" s="584" t="s">
        <v>2199</v>
      </c>
      <c r="CS82" s="584" t="s">
        <v>1890</v>
      </c>
      <c r="CT82" s="584" t="s">
        <v>1891</v>
      </c>
      <c r="CU82" s="584" t="s">
        <v>1892</v>
      </c>
      <c r="CV82" s="585" t="s">
        <v>1893</v>
      </c>
    </row>
    <row r="83" spans="1:100" ht="15.75" x14ac:dyDescent="0.25">
      <c r="A83" s="615">
        <v>2</v>
      </c>
      <c r="B83" s="616" t="s">
        <v>2200</v>
      </c>
      <c r="C83" s="617" t="s">
        <v>2196</v>
      </c>
      <c r="D83" s="618" t="s">
        <v>2201</v>
      </c>
      <c r="E83" s="586"/>
      <c r="F83" s="586"/>
      <c r="G83" s="586"/>
      <c r="H83" s="586"/>
      <c r="I83" s="586"/>
      <c r="J83" s="586"/>
      <c r="K83" s="586"/>
      <c r="L83" s="586"/>
      <c r="M83" s="586"/>
      <c r="N83" s="586"/>
      <c r="O83" s="586"/>
      <c r="P83" s="586"/>
      <c r="Q83" s="586"/>
      <c r="R83" s="586"/>
      <c r="S83" s="586"/>
      <c r="CM83" s="582"/>
      <c r="CN83" s="584" t="s">
        <v>2202</v>
      </c>
      <c r="CO83" s="584" t="s">
        <v>1887</v>
      </c>
      <c r="CP83" s="584" t="s">
        <v>1888</v>
      </c>
      <c r="CQ83" s="584" t="s">
        <v>2203</v>
      </c>
      <c r="CR83" s="584" t="s">
        <v>2203</v>
      </c>
      <c r="CS83" s="584" t="s">
        <v>1890</v>
      </c>
      <c r="CT83" s="584" t="s">
        <v>1891</v>
      </c>
      <c r="CU83" s="584" t="s">
        <v>1892</v>
      </c>
      <c r="CV83" s="585" t="s">
        <v>1893</v>
      </c>
    </row>
    <row r="84" spans="1:100" ht="15.75" x14ac:dyDescent="0.25">
      <c r="A84" s="615">
        <v>3</v>
      </c>
      <c r="B84" s="616" t="s">
        <v>2204</v>
      </c>
      <c r="C84" s="617" t="s">
        <v>2196</v>
      </c>
      <c r="D84" s="618" t="s">
        <v>2205</v>
      </c>
      <c r="E84" s="586"/>
      <c r="F84" s="586"/>
      <c r="G84" s="586"/>
      <c r="H84" s="586"/>
      <c r="I84" s="586"/>
      <c r="J84" s="586"/>
      <c r="K84" s="586"/>
      <c r="L84" s="586"/>
      <c r="M84" s="586"/>
      <c r="N84" s="586"/>
      <c r="O84" s="586"/>
      <c r="P84" s="586"/>
      <c r="Q84" s="586"/>
      <c r="R84" s="586"/>
      <c r="S84" s="586"/>
      <c r="CM84" s="582"/>
      <c r="CN84" s="584" t="s">
        <v>2206</v>
      </c>
      <c r="CO84" s="584" t="s">
        <v>1887</v>
      </c>
      <c r="CP84" s="584" t="s">
        <v>1888</v>
      </c>
      <c r="CQ84" s="584" t="s">
        <v>2207</v>
      </c>
      <c r="CR84" s="584" t="s">
        <v>2207</v>
      </c>
      <c r="CS84" s="584" t="s">
        <v>1978</v>
      </c>
      <c r="CT84" s="584" t="s">
        <v>1979</v>
      </c>
      <c r="CU84" s="584" t="s">
        <v>1892</v>
      </c>
      <c r="CV84" s="585" t="s">
        <v>1980</v>
      </c>
    </row>
    <row r="85" spans="1:100" ht="15.75" x14ac:dyDescent="0.25">
      <c r="A85" s="615">
        <v>4</v>
      </c>
      <c r="B85" s="616" t="s">
        <v>2208</v>
      </c>
      <c r="C85" s="617" t="s">
        <v>2196</v>
      </c>
      <c r="D85" s="618" t="s">
        <v>2209</v>
      </c>
      <c r="E85" s="586"/>
      <c r="F85" s="586"/>
      <c r="G85" s="586"/>
      <c r="H85" s="586"/>
      <c r="I85" s="586"/>
      <c r="J85" s="586"/>
      <c r="K85" s="586"/>
      <c r="L85" s="586"/>
      <c r="M85" s="586"/>
      <c r="N85" s="586"/>
      <c r="O85" s="586"/>
      <c r="P85" s="586"/>
      <c r="Q85" s="586"/>
      <c r="R85" s="586"/>
      <c r="S85" s="586"/>
      <c r="CM85" s="582"/>
      <c r="CN85" s="584" t="s">
        <v>2210</v>
      </c>
      <c r="CO85" s="584" t="s">
        <v>1887</v>
      </c>
      <c r="CP85" s="584" t="s">
        <v>1888</v>
      </c>
      <c r="CQ85" s="584" t="s">
        <v>2211</v>
      </c>
      <c r="CR85" s="584" t="s">
        <v>2211</v>
      </c>
      <c r="CS85" s="584" t="s">
        <v>1978</v>
      </c>
      <c r="CT85" s="584" t="s">
        <v>1979</v>
      </c>
      <c r="CU85" s="584" t="s">
        <v>1892</v>
      </c>
      <c r="CV85" s="585" t="s">
        <v>1980</v>
      </c>
    </row>
    <row r="86" spans="1:100" ht="15.75" x14ac:dyDescent="0.25">
      <c r="A86" s="615">
        <v>5</v>
      </c>
      <c r="B86" s="616" t="s">
        <v>2212</v>
      </c>
      <c r="C86" s="617" t="s">
        <v>2196</v>
      </c>
      <c r="D86" s="618" t="s">
        <v>2213</v>
      </c>
      <c r="E86" s="586"/>
      <c r="F86" s="586"/>
      <c r="G86" s="586"/>
      <c r="H86" s="586"/>
      <c r="I86" s="586"/>
      <c r="J86" s="586"/>
      <c r="K86" s="586"/>
      <c r="L86" s="586"/>
      <c r="M86" s="586"/>
      <c r="N86" s="586"/>
      <c r="O86" s="586"/>
      <c r="P86" s="586"/>
      <c r="Q86" s="586"/>
      <c r="R86" s="586"/>
      <c r="S86" s="586"/>
      <c r="CM86" s="582"/>
      <c r="CN86" s="584" t="s">
        <v>2214</v>
      </c>
      <c r="CO86" s="584" t="s">
        <v>1887</v>
      </c>
      <c r="CP86" s="584" t="s">
        <v>1888</v>
      </c>
      <c r="CQ86" s="584" t="s">
        <v>2215</v>
      </c>
      <c r="CR86" s="584" t="s">
        <v>2215</v>
      </c>
      <c r="CS86" s="584" t="s">
        <v>1890</v>
      </c>
      <c r="CT86" s="584" t="s">
        <v>1891</v>
      </c>
      <c r="CU86" s="584" t="s">
        <v>1892</v>
      </c>
      <c r="CV86" s="585" t="s">
        <v>1893</v>
      </c>
    </row>
    <row r="87" spans="1:100" ht="15.75" x14ac:dyDescent="0.25">
      <c r="A87" s="615">
        <v>6</v>
      </c>
      <c r="B87" s="616" t="s">
        <v>2216</v>
      </c>
      <c r="C87" s="617" t="s">
        <v>2217</v>
      </c>
      <c r="D87" s="618" t="s">
        <v>2218</v>
      </c>
      <c r="E87" s="586"/>
      <c r="F87" s="586"/>
      <c r="G87" s="586"/>
      <c r="H87" s="586"/>
      <c r="I87" s="586"/>
      <c r="J87" s="586"/>
      <c r="K87" s="586"/>
      <c r="L87" s="586"/>
      <c r="M87" s="586"/>
      <c r="N87" s="586"/>
      <c r="O87" s="586"/>
      <c r="P87" s="586"/>
      <c r="Q87" s="586"/>
      <c r="R87" s="586"/>
      <c r="S87" s="586"/>
      <c r="CM87" s="582"/>
      <c r="CN87" s="584" t="s">
        <v>2219</v>
      </c>
      <c r="CO87" s="584" t="s">
        <v>1887</v>
      </c>
      <c r="CP87" s="584" t="s">
        <v>1888</v>
      </c>
      <c r="CQ87" s="584" t="s">
        <v>2220</v>
      </c>
      <c r="CR87" s="584" t="s">
        <v>2220</v>
      </c>
      <c r="CS87" s="584" t="s">
        <v>1890</v>
      </c>
      <c r="CT87" s="584" t="s">
        <v>1891</v>
      </c>
      <c r="CU87" s="584" t="s">
        <v>1892</v>
      </c>
      <c r="CV87" s="585" t="s">
        <v>1893</v>
      </c>
    </row>
    <row r="88" spans="1:100" ht="15.75" x14ac:dyDescent="0.25">
      <c r="A88" s="615">
        <v>7</v>
      </c>
      <c r="B88" s="616" t="s">
        <v>2221</v>
      </c>
      <c r="C88" s="617" t="s">
        <v>2222</v>
      </c>
      <c r="D88" s="618" t="s">
        <v>2223</v>
      </c>
      <c r="E88" s="586"/>
      <c r="F88" s="586"/>
      <c r="G88" s="586"/>
      <c r="H88" s="586"/>
      <c r="I88" s="586"/>
      <c r="J88" s="586"/>
      <c r="K88" s="586"/>
      <c r="L88" s="586"/>
      <c r="M88" s="586"/>
      <c r="N88" s="586"/>
      <c r="O88" s="586"/>
      <c r="P88" s="586"/>
      <c r="Q88" s="586"/>
      <c r="R88" s="586"/>
      <c r="S88" s="586"/>
      <c r="CM88" s="582"/>
      <c r="CN88" s="584" t="s">
        <v>2224</v>
      </c>
      <c r="CO88" s="584" t="s">
        <v>1887</v>
      </c>
      <c r="CP88" s="584" t="s">
        <v>1888</v>
      </c>
      <c r="CQ88" s="584" t="s">
        <v>2225</v>
      </c>
      <c r="CR88" s="584" t="s">
        <v>2226</v>
      </c>
      <c r="CS88" s="584" t="s">
        <v>1890</v>
      </c>
      <c r="CT88" s="584" t="s">
        <v>1891</v>
      </c>
      <c r="CU88" s="584" t="s">
        <v>1892</v>
      </c>
      <c r="CV88" s="585" t="s">
        <v>1893</v>
      </c>
    </row>
    <row r="89" spans="1:100" ht="15.75" x14ac:dyDescent="0.25">
      <c r="A89" s="615">
        <v>8</v>
      </c>
      <c r="B89" s="616" t="s">
        <v>2227</v>
      </c>
      <c r="C89" s="617" t="s">
        <v>2228</v>
      </c>
      <c r="D89" s="618" t="s">
        <v>2229</v>
      </c>
      <c r="E89" s="586"/>
      <c r="F89" s="586"/>
      <c r="G89" s="586"/>
      <c r="H89" s="586"/>
      <c r="I89" s="586"/>
      <c r="J89" s="586"/>
      <c r="K89" s="586"/>
      <c r="L89" s="586"/>
      <c r="M89" s="586"/>
      <c r="N89" s="586"/>
      <c r="O89" s="586"/>
      <c r="P89" s="586"/>
      <c r="Q89" s="586"/>
      <c r="R89" s="586"/>
      <c r="S89" s="586"/>
      <c r="CM89" s="582"/>
      <c r="CN89" s="584" t="s">
        <v>2230</v>
      </c>
      <c r="CO89" s="584" t="s">
        <v>1887</v>
      </c>
      <c r="CP89" s="584" t="s">
        <v>1888</v>
      </c>
      <c r="CQ89" s="584" t="s">
        <v>2231</v>
      </c>
      <c r="CR89" s="584" t="s">
        <v>2231</v>
      </c>
      <c r="CS89" s="584" t="s">
        <v>1890</v>
      </c>
      <c r="CT89" s="584" t="s">
        <v>1891</v>
      </c>
      <c r="CU89" s="584" t="s">
        <v>1892</v>
      </c>
      <c r="CV89" s="585" t="s">
        <v>1893</v>
      </c>
    </row>
    <row r="90" spans="1:100" ht="15.75" x14ac:dyDescent="0.25">
      <c r="A90" s="615">
        <v>9</v>
      </c>
      <c r="B90" s="616" t="s">
        <v>2232</v>
      </c>
      <c r="C90" s="617" t="s">
        <v>2233</v>
      </c>
      <c r="D90" s="618" t="s">
        <v>2234</v>
      </c>
      <c r="E90" s="586"/>
      <c r="F90" s="586"/>
      <c r="G90" s="586"/>
      <c r="H90" s="586"/>
      <c r="I90" s="586"/>
      <c r="J90" s="586"/>
      <c r="K90" s="586"/>
      <c r="L90" s="586"/>
      <c r="M90" s="586"/>
      <c r="N90" s="586"/>
      <c r="O90" s="586"/>
      <c r="P90" s="586"/>
      <c r="Q90" s="586"/>
      <c r="R90" s="586"/>
      <c r="S90" s="586"/>
      <c r="CM90" s="582"/>
      <c r="CN90" s="584" t="s">
        <v>2235</v>
      </c>
      <c r="CO90" s="584" t="s">
        <v>1887</v>
      </c>
      <c r="CP90" s="584" t="s">
        <v>1888</v>
      </c>
      <c r="CQ90" s="584" t="s">
        <v>2236</v>
      </c>
      <c r="CR90" s="584" t="s">
        <v>2237</v>
      </c>
      <c r="CS90" s="584" t="s">
        <v>1890</v>
      </c>
      <c r="CT90" s="584" t="s">
        <v>1891</v>
      </c>
      <c r="CU90" s="584" t="s">
        <v>1892</v>
      </c>
      <c r="CV90" s="585" t="s">
        <v>1893</v>
      </c>
    </row>
    <row r="91" spans="1:100" ht="15.75" x14ac:dyDescent="0.25">
      <c r="A91" s="619">
        <v>10</v>
      </c>
      <c r="B91" s="620" t="s">
        <v>2238</v>
      </c>
      <c r="C91" s="621" t="s">
        <v>2239</v>
      </c>
      <c r="D91" s="622" t="s">
        <v>2240</v>
      </c>
      <c r="E91" s="586"/>
      <c r="F91" s="586"/>
      <c r="G91" s="586"/>
      <c r="H91" s="586"/>
      <c r="I91" s="586"/>
      <c r="J91" s="586"/>
      <c r="K91" s="586"/>
      <c r="L91" s="586"/>
      <c r="M91" s="586"/>
      <c r="N91" s="586"/>
      <c r="O91" s="586"/>
      <c r="P91" s="586"/>
      <c r="Q91" s="586"/>
      <c r="R91" s="586"/>
      <c r="S91" s="586"/>
      <c r="CM91" s="582"/>
      <c r="CN91" s="584" t="s">
        <v>2241</v>
      </c>
      <c r="CO91" s="584" t="s">
        <v>1887</v>
      </c>
      <c r="CP91" s="584" t="s">
        <v>1888</v>
      </c>
      <c r="CQ91" s="584" t="s">
        <v>2242</v>
      </c>
      <c r="CR91" s="584" t="s">
        <v>2242</v>
      </c>
      <c r="CS91" s="584" t="s">
        <v>1890</v>
      </c>
      <c r="CT91" s="584" t="s">
        <v>1891</v>
      </c>
      <c r="CU91" s="584" t="s">
        <v>1892</v>
      </c>
      <c r="CV91" s="585" t="s">
        <v>1893</v>
      </c>
    </row>
    <row r="92" spans="1:100" ht="15.75" x14ac:dyDescent="0.25">
      <c r="A92" s="586"/>
      <c r="B92" s="609"/>
      <c r="C92" s="610"/>
      <c r="D92" s="610"/>
      <c r="E92" s="586"/>
      <c r="F92" s="586"/>
      <c r="G92" s="586"/>
      <c r="H92" s="586"/>
      <c r="I92" s="586"/>
      <c r="J92" s="586"/>
      <c r="K92" s="586"/>
      <c r="L92" s="586"/>
      <c r="M92" s="586"/>
      <c r="N92" s="586"/>
      <c r="O92" s="586"/>
      <c r="P92" s="586"/>
      <c r="Q92" s="586"/>
      <c r="R92" s="586"/>
      <c r="S92" s="586"/>
      <c r="CM92" s="582"/>
      <c r="CN92" s="584" t="s">
        <v>2243</v>
      </c>
      <c r="CO92" s="584" t="s">
        <v>1887</v>
      </c>
      <c r="CP92" s="584" t="s">
        <v>1888</v>
      </c>
      <c r="CQ92" s="584" t="s">
        <v>2244</v>
      </c>
      <c r="CR92" s="584" t="s">
        <v>2244</v>
      </c>
      <c r="CS92" s="584" t="s">
        <v>1890</v>
      </c>
      <c r="CT92" s="584" t="s">
        <v>1891</v>
      </c>
      <c r="CU92" s="584" t="s">
        <v>1892</v>
      </c>
      <c r="CV92" s="585" t="s">
        <v>1893</v>
      </c>
    </row>
    <row r="93" spans="1:100" ht="15.75" x14ac:dyDescent="0.25">
      <c r="A93" s="586"/>
      <c r="B93" s="609"/>
      <c r="C93" s="610"/>
      <c r="D93" s="610"/>
      <c r="E93" s="586"/>
      <c r="F93" s="586"/>
      <c r="G93" s="586"/>
      <c r="H93" s="586"/>
      <c r="I93" s="586"/>
      <c r="J93" s="586"/>
      <c r="K93" s="586"/>
      <c r="L93" s="586"/>
      <c r="M93" s="586"/>
      <c r="N93" s="586"/>
      <c r="O93" s="586"/>
      <c r="P93" s="586"/>
      <c r="Q93" s="586"/>
      <c r="R93" s="586"/>
      <c r="S93" s="586"/>
      <c r="CM93" s="582"/>
      <c r="CN93" s="584" t="s">
        <v>2245</v>
      </c>
      <c r="CO93" s="584" t="s">
        <v>1887</v>
      </c>
      <c r="CP93" s="584" t="s">
        <v>1888</v>
      </c>
      <c r="CQ93" s="584" t="s">
        <v>2246</v>
      </c>
      <c r="CR93" s="584" t="s">
        <v>2246</v>
      </c>
      <c r="CS93" s="584" t="s">
        <v>1890</v>
      </c>
      <c r="CT93" s="584" t="s">
        <v>1891</v>
      </c>
      <c r="CU93" s="584" t="s">
        <v>1892</v>
      </c>
      <c r="CV93" s="585" t="s">
        <v>1893</v>
      </c>
    </row>
    <row r="94" spans="1:100" ht="27.95" customHeight="1" x14ac:dyDescent="0.25">
      <c r="A94" s="723" t="s">
        <v>2247</v>
      </c>
      <c r="B94" s="723"/>
      <c r="C94" s="723"/>
      <c r="D94" s="723"/>
      <c r="E94" s="723"/>
      <c r="F94" s="723"/>
      <c r="G94" s="723"/>
      <c r="H94" s="723"/>
      <c r="I94" s="723"/>
      <c r="J94" s="723"/>
      <c r="K94" s="723"/>
      <c r="L94" s="723"/>
      <c r="M94" s="723"/>
      <c r="N94" s="723"/>
      <c r="O94" s="723"/>
      <c r="P94" s="723"/>
      <c r="Q94" s="723"/>
      <c r="R94" s="723"/>
      <c r="S94" s="723"/>
      <c r="CM94" s="582"/>
      <c r="CN94" s="584" t="s">
        <v>2248</v>
      </c>
      <c r="CO94" s="584" t="s">
        <v>1887</v>
      </c>
      <c r="CP94" s="584" t="s">
        <v>1888</v>
      </c>
      <c r="CQ94" s="584" t="s">
        <v>2249</v>
      </c>
      <c r="CR94" s="584" t="s">
        <v>2250</v>
      </c>
      <c r="CS94" s="584" t="s">
        <v>1890</v>
      </c>
      <c r="CT94" s="584" t="s">
        <v>1891</v>
      </c>
      <c r="CU94" s="584" t="s">
        <v>1892</v>
      </c>
      <c r="CV94" s="585" t="s">
        <v>1893</v>
      </c>
    </row>
    <row r="95" spans="1:100" ht="21" customHeight="1" x14ac:dyDescent="0.25">
      <c r="A95" s="586"/>
      <c r="B95" s="623" t="s">
        <v>2251</v>
      </c>
      <c r="C95" s="624"/>
      <c r="D95" s="610"/>
      <c r="E95" s="586"/>
      <c r="F95" s="586"/>
      <c r="G95" s="586"/>
      <c r="H95" s="586"/>
      <c r="I95" s="586"/>
      <c r="J95" s="586"/>
      <c r="K95" s="586"/>
      <c r="L95" s="586"/>
      <c r="M95" s="586"/>
      <c r="N95" s="586"/>
      <c r="O95" s="586"/>
      <c r="P95" s="586"/>
      <c r="Q95" s="586"/>
      <c r="R95" s="586"/>
      <c r="S95" s="586"/>
      <c r="CM95" s="582"/>
      <c r="CN95" s="584" t="s">
        <v>2252</v>
      </c>
      <c r="CO95" s="584" t="s">
        <v>1887</v>
      </c>
      <c r="CP95" s="584" t="s">
        <v>1888</v>
      </c>
      <c r="CQ95" s="584" t="s">
        <v>2253</v>
      </c>
      <c r="CR95" s="584" t="s">
        <v>2253</v>
      </c>
      <c r="CS95" s="584" t="s">
        <v>1890</v>
      </c>
      <c r="CT95" s="584" t="s">
        <v>1891</v>
      </c>
      <c r="CU95" s="584" t="s">
        <v>1892</v>
      </c>
      <c r="CV95" s="585" t="s">
        <v>1893</v>
      </c>
    </row>
    <row r="96" spans="1:100" ht="21" customHeight="1" x14ac:dyDescent="0.25">
      <c r="A96" s="586"/>
      <c r="B96" s="625" t="s">
        <v>2254</v>
      </c>
      <c r="C96" s="626" t="s">
        <v>2255</v>
      </c>
      <c r="D96" s="610"/>
      <c r="E96" s="586"/>
      <c r="F96" s="586"/>
      <c r="G96" s="586"/>
      <c r="H96" s="586"/>
      <c r="I96" s="586"/>
      <c r="J96" s="586"/>
      <c r="K96" s="586"/>
      <c r="L96" s="586"/>
      <c r="M96" s="586"/>
      <c r="N96" s="586"/>
      <c r="O96" s="586"/>
      <c r="P96" s="586"/>
      <c r="Q96" s="586"/>
      <c r="R96" s="586"/>
      <c r="S96" s="586"/>
      <c r="CM96" s="582"/>
      <c r="CN96" s="584" t="s">
        <v>2256</v>
      </c>
      <c r="CO96" s="584" t="s">
        <v>1887</v>
      </c>
      <c r="CP96" s="584" t="s">
        <v>1888</v>
      </c>
      <c r="CQ96" s="584" t="s">
        <v>2257</v>
      </c>
      <c r="CR96" s="584" t="s">
        <v>2257</v>
      </c>
      <c r="CS96" s="584" t="s">
        <v>1890</v>
      </c>
      <c r="CT96" s="584" t="s">
        <v>1891</v>
      </c>
      <c r="CU96" s="584" t="s">
        <v>1892</v>
      </c>
      <c r="CV96" s="585" t="s">
        <v>1893</v>
      </c>
    </row>
    <row r="97" spans="1:100" ht="21" customHeight="1" x14ac:dyDescent="0.25">
      <c r="A97" s="586"/>
      <c r="B97" s="625" t="s">
        <v>2258</v>
      </c>
      <c r="C97" s="626" t="s">
        <v>2259</v>
      </c>
      <c r="D97" s="610"/>
      <c r="E97" s="586"/>
      <c r="F97" s="586"/>
      <c r="G97" s="586"/>
      <c r="H97" s="586"/>
      <c r="I97" s="586"/>
      <c r="J97" s="586"/>
      <c r="K97" s="586"/>
      <c r="L97" s="586"/>
      <c r="M97" s="586"/>
      <c r="N97" s="586"/>
      <c r="O97" s="586"/>
      <c r="P97" s="586"/>
      <c r="Q97" s="586"/>
      <c r="R97" s="586"/>
      <c r="S97" s="586"/>
      <c r="CM97" s="582"/>
      <c r="CN97" s="584" t="s">
        <v>2260</v>
      </c>
      <c r="CO97" s="584" t="s">
        <v>1887</v>
      </c>
      <c r="CP97" s="584" t="s">
        <v>1888</v>
      </c>
      <c r="CQ97" s="584" t="s">
        <v>2261</v>
      </c>
      <c r="CR97" s="584" t="s">
        <v>2261</v>
      </c>
      <c r="CS97" s="584" t="s">
        <v>1978</v>
      </c>
      <c r="CT97" s="584" t="s">
        <v>1979</v>
      </c>
      <c r="CU97" s="584" t="s">
        <v>1892</v>
      </c>
      <c r="CV97" s="585" t="s">
        <v>1980</v>
      </c>
    </row>
    <row r="98" spans="1:100" ht="21" customHeight="1" x14ac:dyDescent="0.25">
      <c r="A98" s="586"/>
      <c r="B98" s="625" t="s">
        <v>2262</v>
      </c>
      <c r="C98" s="626" t="s">
        <v>2263</v>
      </c>
      <c r="D98" s="610"/>
      <c r="E98" s="586"/>
      <c r="F98" s="586"/>
      <c r="G98" s="586"/>
      <c r="H98" s="586"/>
      <c r="I98" s="586"/>
      <c r="J98" s="586"/>
      <c r="K98" s="586"/>
      <c r="L98" s="586"/>
      <c r="M98" s="586"/>
      <c r="N98" s="586"/>
      <c r="O98" s="586"/>
      <c r="P98" s="586"/>
      <c r="Q98" s="586"/>
      <c r="R98" s="586"/>
      <c r="S98" s="586"/>
      <c r="CM98" s="582"/>
      <c r="CN98" s="584" t="s">
        <v>2264</v>
      </c>
      <c r="CO98" s="584" t="s">
        <v>1887</v>
      </c>
      <c r="CP98" s="584" t="s">
        <v>1888</v>
      </c>
      <c r="CQ98" s="584" t="s">
        <v>2265</v>
      </c>
      <c r="CR98" s="584" t="s">
        <v>2266</v>
      </c>
      <c r="CS98" s="584" t="s">
        <v>1890</v>
      </c>
      <c r="CT98" s="584" t="s">
        <v>1891</v>
      </c>
      <c r="CU98" s="584" t="s">
        <v>1892</v>
      </c>
      <c r="CV98" s="585" t="s">
        <v>1893</v>
      </c>
    </row>
    <row r="99" spans="1:100" ht="21" customHeight="1" x14ac:dyDescent="0.25">
      <c r="A99" s="586"/>
      <c r="B99" s="625" t="s">
        <v>2267</v>
      </c>
      <c r="C99" s="626" t="s">
        <v>2268</v>
      </c>
      <c r="D99" s="610"/>
      <c r="E99" s="586"/>
      <c r="F99" s="586"/>
      <c r="G99" s="586"/>
      <c r="H99" s="586"/>
      <c r="I99" s="586"/>
      <c r="J99" s="586"/>
      <c r="K99" s="586"/>
      <c r="L99" s="586"/>
      <c r="M99" s="586"/>
      <c r="N99" s="586"/>
      <c r="O99" s="586"/>
      <c r="P99" s="586"/>
      <c r="Q99" s="586"/>
      <c r="R99" s="586"/>
      <c r="S99" s="586"/>
      <c r="CM99" s="582"/>
      <c r="CN99" s="584" t="s">
        <v>2269</v>
      </c>
      <c r="CO99" s="584" t="s">
        <v>1887</v>
      </c>
      <c r="CP99" s="584" t="s">
        <v>1888</v>
      </c>
      <c r="CQ99" s="584" t="s">
        <v>2270</v>
      </c>
      <c r="CR99" s="584" t="s">
        <v>2271</v>
      </c>
      <c r="CS99" s="584" t="s">
        <v>1890</v>
      </c>
      <c r="CT99" s="584" t="s">
        <v>1891</v>
      </c>
      <c r="CU99" s="584" t="s">
        <v>1892</v>
      </c>
      <c r="CV99" s="585" t="s">
        <v>1893</v>
      </c>
    </row>
    <row r="100" spans="1:100" ht="21" customHeight="1" x14ac:dyDescent="0.25">
      <c r="A100" s="586"/>
      <c r="B100" s="625" t="s">
        <v>2272</v>
      </c>
      <c r="C100" s="626" t="s">
        <v>2273</v>
      </c>
      <c r="D100" s="610"/>
      <c r="E100" s="586"/>
      <c r="F100" s="586"/>
      <c r="G100" s="586"/>
      <c r="H100" s="586"/>
      <c r="I100" s="586"/>
      <c r="J100" s="586"/>
      <c r="K100" s="586"/>
      <c r="L100" s="586"/>
      <c r="M100" s="586"/>
      <c r="N100" s="586"/>
      <c r="O100" s="586"/>
      <c r="P100" s="586"/>
      <c r="Q100" s="586"/>
      <c r="R100" s="586"/>
      <c r="S100" s="586"/>
      <c r="CM100" s="582"/>
      <c r="CN100" s="584" t="s">
        <v>2274</v>
      </c>
      <c r="CO100" s="584" t="s">
        <v>1887</v>
      </c>
      <c r="CP100" s="584" t="s">
        <v>1888</v>
      </c>
      <c r="CQ100" s="584" t="s">
        <v>2275</v>
      </c>
      <c r="CR100" s="584" t="s">
        <v>2276</v>
      </c>
      <c r="CS100" s="584" t="s">
        <v>1890</v>
      </c>
      <c r="CT100" s="584" t="s">
        <v>1891</v>
      </c>
      <c r="CU100" s="584" t="s">
        <v>1892</v>
      </c>
      <c r="CV100" s="585" t="s">
        <v>1893</v>
      </c>
    </row>
    <row r="101" spans="1:100" ht="21" customHeight="1" x14ac:dyDescent="0.25">
      <c r="A101" s="586"/>
      <c r="B101" s="625" t="s">
        <v>2277</v>
      </c>
      <c r="C101" s="626" t="s">
        <v>2278</v>
      </c>
      <c r="D101" s="610"/>
      <c r="E101" s="586"/>
      <c r="F101" s="586"/>
      <c r="G101" s="586"/>
      <c r="H101" s="586"/>
      <c r="I101" s="586"/>
      <c r="J101" s="586"/>
      <c r="K101" s="586"/>
      <c r="L101" s="586"/>
      <c r="M101" s="586"/>
      <c r="N101" s="586"/>
      <c r="O101" s="586"/>
      <c r="P101" s="586"/>
      <c r="Q101" s="586"/>
      <c r="R101" s="586"/>
      <c r="S101" s="586"/>
      <c r="CM101" s="582"/>
      <c r="CN101" s="584" t="s">
        <v>2279</v>
      </c>
      <c r="CO101" s="584" t="s">
        <v>1887</v>
      </c>
      <c r="CP101" s="584" t="s">
        <v>1888</v>
      </c>
      <c r="CQ101" s="584" t="s">
        <v>2280</v>
      </c>
      <c r="CR101" s="584" t="s">
        <v>2281</v>
      </c>
      <c r="CS101" s="584" t="s">
        <v>1890</v>
      </c>
      <c r="CT101" s="584" t="s">
        <v>1891</v>
      </c>
      <c r="CU101" s="584" t="s">
        <v>1892</v>
      </c>
      <c r="CV101" s="585" t="s">
        <v>1893</v>
      </c>
    </row>
    <row r="102" spans="1:100" ht="21" customHeight="1" x14ac:dyDescent="0.25">
      <c r="A102" s="586"/>
      <c r="B102" s="627"/>
      <c r="C102" s="628"/>
      <c r="D102" s="610"/>
      <c r="E102" s="586"/>
      <c r="F102" s="586"/>
      <c r="G102" s="586"/>
      <c r="H102" s="586"/>
      <c r="I102" s="586"/>
      <c r="J102" s="586"/>
      <c r="K102" s="586"/>
      <c r="L102" s="586"/>
      <c r="M102" s="586"/>
      <c r="N102" s="586"/>
      <c r="O102" s="586"/>
      <c r="P102" s="586"/>
      <c r="Q102" s="586"/>
      <c r="R102" s="586"/>
      <c r="S102" s="586"/>
      <c r="CM102" s="582"/>
      <c r="CN102" s="584" t="s">
        <v>2282</v>
      </c>
      <c r="CO102" s="584" t="s">
        <v>1887</v>
      </c>
      <c r="CP102" s="584" t="s">
        <v>1888</v>
      </c>
      <c r="CQ102" s="584" t="s">
        <v>2283</v>
      </c>
      <c r="CR102" s="584" t="s">
        <v>2284</v>
      </c>
      <c r="CS102" s="584" t="s">
        <v>1890</v>
      </c>
      <c r="CT102" s="584" t="s">
        <v>1891</v>
      </c>
      <c r="CU102" s="584" t="s">
        <v>1892</v>
      </c>
      <c r="CV102" s="585" t="s">
        <v>1893</v>
      </c>
    </row>
    <row r="103" spans="1:100" ht="21" customHeight="1" x14ac:dyDescent="0.25">
      <c r="A103" s="586"/>
      <c r="B103" s="629" t="s">
        <v>2285</v>
      </c>
      <c r="C103" s="624"/>
      <c r="D103" s="610"/>
      <c r="E103" s="586"/>
      <c r="F103" s="586"/>
      <c r="G103" s="586"/>
      <c r="H103" s="586"/>
      <c r="I103" s="586"/>
      <c r="J103" s="586"/>
      <c r="K103" s="586"/>
      <c r="L103" s="586"/>
      <c r="M103" s="586"/>
      <c r="N103" s="586"/>
      <c r="O103" s="586"/>
      <c r="P103" s="586"/>
      <c r="Q103" s="586"/>
      <c r="R103" s="586"/>
      <c r="S103" s="586"/>
      <c r="CM103" s="582"/>
      <c r="CN103" s="584" t="s">
        <v>2286</v>
      </c>
      <c r="CO103" s="584" t="s">
        <v>1887</v>
      </c>
      <c r="CP103" s="584" t="s">
        <v>1888</v>
      </c>
      <c r="CQ103" s="584" t="s">
        <v>2287</v>
      </c>
      <c r="CR103" s="584" t="s">
        <v>2288</v>
      </c>
      <c r="CS103" s="584" t="s">
        <v>1890</v>
      </c>
      <c r="CT103" s="584" t="s">
        <v>1891</v>
      </c>
      <c r="CU103" s="584" t="s">
        <v>1892</v>
      </c>
      <c r="CV103" s="585" t="s">
        <v>1893</v>
      </c>
    </row>
    <row r="104" spans="1:100" ht="21" customHeight="1" x14ac:dyDescent="0.25">
      <c r="A104" s="586"/>
      <c r="B104" s="625" t="s">
        <v>2289</v>
      </c>
      <c r="C104" s="626" t="s">
        <v>2290</v>
      </c>
      <c r="D104" s="610"/>
      <c r="E104" s="586"/>
      <c r="F104" s="586"/>
      <c r="G104" s="586"/>
      <c r="H104" s="586"/>
      <c r="I104" s="586"/>
      <c r="J104" s="586"/>
      <c r="K104" s="586"/>
      <c r="L104" s="586"/>
      <c r="M104" s="586"/>
      <c r="N104" s="586"/>
      <c r="O104" s="586"/>
      <c r="P104" s="586"/>
      <c r="Q104" s="586"/>
      <c r="R104" s="586"/>
      <c r="S104" s="586"/>
      <c r="CM104" s="582"/>
      <c r="CN104" s="584" t="s">
        <v>2291</v>
      </c>
      <c r="CO104" s="584" t="s">
        <v>1887</v>
      </c>
      <c r="CP104" s="584" t="s">
        <v>1888</v>
      </c>
      <c r="CQ104" s="584" t="s">
        <v>2292</v>
      </c>
      <c r="CR104" s="584" t="s">
        <v>2293</v>
      </c>
      <c r="CS104" s="584" t="s">
        <v>1890</v>
      </c>
      <c r="CT104" s="584" t="s">
        <v>1891</v>
      </c>
      <c r="CU104" s="584" t="s">
        <v>1892</v>
      </c>
      <c r="CV104" s="585" t="s">
        <v>1893</v>
      </c>
    </row>
    <row r="105" spans="1:100" ht="21" customHeight="1" x14ac:dyDescent="0.25">
      <c r="A105" s="586"/>
      <c r="B105" s="625" t="s">
        <v>2294</v>
      </c>
      <c r="C105" s="626" t="s">
        <v>2295</v>
      </c>
      <c r="D105" s="610"/>
      <c r="E105" s="586"/>
      <c r="F105" s="586"/>
      <c r="G105" s="586"/>
      <c r="H105" s="586"/>
      <c r="I105" s="586"/>
      <c r="J105" s="586"/>
      <c r="K105" s="586"/>
      <c r="L105" s="586"/>
      <c r="M105" s="586"/>
      <c r="N105" s="586"/>
      <c r="O105" s="586"/>
      <c r="P105" s="586"/>
      <c r="Q105" s="586"/>
      <c r="R105" s="586"/>
      <c r="S105" s="586"/>
      <c r="CM105" s="582"/>
      <c r="CN105" s="584" t="s">
        <v>2296</v>
      </c>
      <c r="CO105" s="584" t="s">
        <v>1887</v>
      </c>
      <c r="CP105" s="584" t="s">
        <v>1888</v>
      </c>
      <c r="CQ105" s="584" t="s">
        <v>2297</v>
      </c>
      <c r="CR105" s="584" t="s">
        <v>2298</v>
      </c>
      <c r="CS105" s="584" t="s">
        <v>1890</v>
      </c>
      <c r="CT105" s="584" t="s">
        <v>1891</v>
      </c>
      <c r="CU105" s="584" t="s">
        <v>1892</v>
      </c>
      <c r="CV105" s="585" t="s">
        <v>1893</v>
      </c>
    </row>
    <row r="106" spans="1:100" ht="21" customHeight="1" x14ac:dyDescent="0.25">
      <c r="B106" s="625" t="s">
        <v>1912</v>
      </c>
      <c r="C106" s="565" t="s">
        <v>2299</v>
      </c>
      <c r="CM106" s="582"/>
      <c r="CN106" s="584" t="s">
        <v>2300</v>
      </c>
      <c r="CO106" s="584" t="s">
        <v>1887</v>
      </c>
      <c r="CP106" s="584" t="s">
        <v>1888</v>
      </c>
      <c r="CQ106" s="584" t="s">
        <v>2301</v>
      </c>
      <c r="CR106" s="584" t="s">
        <v>2302</v>
      </c>
      <c r="CS106" s="584" t="s">
        <v>1890</v>
      </c>
      <c r="CT106" s="584" t="s">
        <v>1891</v>
      </c>
      <c r="CU106" s="584" t="s">
        <v>1892</v>
      </c>
      <c r="CV106" s="585" t="s">
        <v>1893</v>
      </c>
    </row>
    <row r="107" spans="1:100" ht="21" customHeight="1" x14ac:dyDescent="0.25">
      <c r="B107" s="625" t="s">
        <v>2303</v>
      </c>
      <c r="C107" s="565" t="s">
        <v>2304</v>
      </c>
      <c r="CM107" s="582"/>
      <c r="CN107" s="584" t="s">
        <v>2305</v>
      </c>
      <c r="CO107" s="584" t="s">
        <v>1887</v>
      </c>
      <c r="CP107" s="584" t="s">
        <v>1888</v>
      </c>
      <c r="CQ107" s="584" t="s">
        <v>2306</v>
      </c>
      <c r="CR107" s="584" t="s">
        <v>2307</v>
      </c>
      <c r="CS107" s="584" t="s">
        <v>1890</v>
      </c>
      <c r="CT107" s="584" t="s">
        <v>1891</v>
      </c>
      <c r="CU107" s="584" t="s">
        <v>1892</v>
      </c>
      <c r="CV107" s="585" t="s">
        <v>1893</v>
      </c>
    </row>
    <row r="108" spans="1:100" ht="21" customHeight="1" x14ac:dyDescent="0.25">
      <c r="B108" s="625" t="s">
        <v>2308</v>
      </c>
      <c r="C108" s="565" t="s">
        <v>2309</v>
      </c>
      <c r="CM108" s="582"/>
      <c r="CN108" s="584" t="s">
        <v>2310</v>
      </c>
      <c r="CO108" s="584" t="s">
        <v>1887</v>
      </c>
      <c r="CP108" s="584" t="s">
        <v>1888</v>
      </c>
      <c r="CQ108" s="584" t="s">
        <v>2311</v>
      </c>
      <c r="CR108" s="584" t="s">
        <v>2311</v>
      </c>
      <c r="CS108" s="584" t="s">
        <v>1890</v>
      </c>
      <c r="CT108" s="584" t="s">
        <v>1891</v>
      </c>
      <c r="CU108" s="584" t="s">
        <v>1892</v>
      </c>
      <c r="CV108" s="585" t="s">
        <v>1893</v>
      </c>
    </row>
    <row r="109" spans="1:100" ht="21" customHeight="1" x14ac:dyDescent="0.25">
      <c r="B109" s="625" t="s">
        <v>1917</v>
      </c>
      <c r="C109" s="565" t="s">
        <v>2312</v>
      </c>
      <c r="CM109" s="582"/>
      <c r="CN109" s="584" t="s">
        <v>2313</v>
      </c>
      <c r="CO109" s="584" t="s">
        <v>1887</v>
      </c>
      <c r="CP109" s="584" t="s">
        <v>1888</v>
      </c>
      <c r="CQ109" s="584" t="s">
        <v>2314</v>
      </c>
      <c r="CR109" s="584" t="s">
        <v>2314</v>
      </c>
      <c r="CS109" s="584" t="s">
        <v>1890</v>
      </c>
      <c r="CT109" s="584" t="s">
        <v>1891</v>
      </c>
      <c r="CU109" s="584" t="s">
        <v>1892</v>
      </c>
      <c r="CV109" s="585" t="s">
        <v>1893</v>
      </c>
    </row>
    <row r="110" spans="1:100" ht="21" customHeight="1" x14ac:dyDescent="0.25">
      <c r="B110" s="625" t="s">
        <v>2315</v>
      </c>
      <c r="C110" s="565" t="s">
        <v>2316</v>
      </c>
      <c r="CM110" s="582"/>
      <c r="CN110" s="584" t="s">
        <v>2317</v>
      </c>
      <c r="CO110" s="584" t="s">
        <v>1887</v>
      </c>
      <c r="CP110" s="584" t="s">
        <v>1888</v>
      </c>
      <c r="CQ110" s="584" t="s">
        <v>2318</v>
      </c>
      <c r="CR110" s="584" t="s">
        <v>2318</v>
      </c>
      <c r="CS110" s="584" t="s">
        <v>1890</v>
      </c>
      <c r="CT110" s="584" t="s">
        <v>1891</v>
      </c>
      <c r="CU110" s="584" t="s">
        <v>1892</v>
      </c>
      <c r="CV110" s="585" t="s">
        <v>1893</v>
      </c>
    </row>
    <row r="111" spans="1:100" ht="21" customHeight="1" x14ac:dyDescent="0.25">
      <c r="B111" s="625" t="s">
        <v>2319</v>
      </c>
      <c r="C111" s="565" t="s">
        <v>2320</v>
      </c>
      <c r="CM111" s="582"/>
      <c r="CN111" s="584" t="s">
        <v>2321</v>
      </c>
      <c r="CO111" s="584" t="s">
        <v>1887</v>
      </c>
      <c r="CP111" s="584" t="s">
        <v>1888</v>
      </c>
      <c r="CQ111" s="584" t="s">
        <v>2322</v>
      </c>
      <c r="CR111" s="584" t="s">
        <v>2322</v>
      </c>
      <c r="CS111" s="584" t="s">
        <v>1890</v>
      </c>
      <c r="CT111" s="584" t="s">
        <v>1891</v>
      </c>
      <c r="CU111" s="584" t="s">
        <v>1892</v>
      </c>
      <c r="CV111" s="585" t="s">
        <v>1893</v>
      </c>
    </row>
    <row r="112" spans="1:100" ht="21" customHeight="1" x14ac:dyDescent="0.25">
      <c r="B112" s="625" t="s">
        <v>2323</v>
      </c>
      <c r="C112" s="568"/>
      <c r="CM112" s="582"/>
      <c r="CN112" s="584" t="s">
        <v>2324</v>
      </c>
      <c r="CO112" s="584" t="s">
        <v>1887</v>
      </c>
      <c r="CP112" s="584" t="s">
        <v>2325</v>
      </c>
      <c r="CQ112" s="584" t="s">
        <v>2326</v>
      </c>
      <c r="CR112" s="584" t="s">
        <v>2326</v>
      </c>
      <c r="CS112" s="584" t="s">
        <v>1978</v>
      </c>
      <c r="CT112" s="584" t="s">
        <v>2327</v>
      </c>
      <c r="CU112" s="584" t="s">
        <v>1892</v>
      </c>
      <c r="CV112" s="585" t="s">
        <v>1980</v>
      </c>
    </row>
    <row r="113" spans="2:100" ht="21" customHeight="1" x14ac:dyDescent="0.25">
      <c r="B113" s="630" t="s">
        <v>2328</v>
      </c>
      <c r="C113" s="565" t="s">
        <v>2329</v>
      </c>
      <c r="CM113" s="582"/>
      <c r="CN113" s="584" t="s">
        <v>2330</v>
      </c>
      <c r="CO113" s="584" t="s">
        <v>1887</v>
      </c>
      <c r="CP113" s="584" t="s">
        <v>2325</v>
      </c>
      <c r="CQ113" s="584" t="s">
        <v>2331</v>
      </c>
      <c r="CR113" s="584" t="s">
        <v>2331</v>
      </c>
      <c r="CS113" s="584" t="s">
        <v>1890</v>
      </c>
      <c r="CT113" s="584" t="s">
        <v>2332</v>
      </c>
      <c r="CU113" s="584" t="s">
        <v>1892</v>
      </c>
      <c r="CV113" s="585" t="s">
        <v>1893</v>
      </c>
    </row>
    <row r="114" spans="2:100" ht="21" customHeight="1" x14ac:dyDescent="0.25">
      <c r="B114" s="625" t="s">
        <v>2333</v>
      </c>
      <c r="C114" s="565" t="s">
        <v>2334</v>
      </c>
      <c r="CM114" s="582"/>
      <c r="CN114" s="584" t="s">
        <v>2335</v>
      </c>
      <c r="CO114" s="584" t="s">
        <v>1887</v>
      </c>
      <c r="CP114" s="584" t="s">
        <v>2325</v>
      </c>
      <c r="CQ114" s="584" t="s">
        <v>2336</v>
      </c>
      <c r="CR114" s="584" t="s">
        <v>2336</v>
      </c>
      <c r="CS114" s="584" t="s">
        <v>1890</v>
      </c>
      <c r="CT114" s="584" t="s">
        <v>2332</v>
      </c>
      <c r="CU114" s="584" t="s">
        <v>1892</v>
      </c>
      <c r="CV114" s="585" t="s">
        <v>1893</v>
      </c>
    </row>
    <row r="115" spans="2:100" ht="21" customHeight="1" x14ac:dyDescent="0.25">
      <c r="B115" s="625" t="s">
        <v>2337</v>
      </c>
      <c r="C115" s="565" t="s">
        <v>2185</v>
      </c>
      <c r="CM115" s="582"/>
      <c r="CN115" s="584" t="s">
        <v>2338</v>
      </c>
      <c r="CO115" s="584" t="s">
        <v>1887</v>
      </c>
      <c r="CP115" s="584" t="s">
        <v>2325</v>
      </c>
      <c r="CQ115" s="584" t="s">
        <v>2339</v>
      </c>
      <c r="CR115" s="584" t="s">
        <v>2340</v>
      </c>
      <c r="CS115" s="584" t="s">
        <v>1890</v>
      </c>
      <c r="CT115" s="584" t="s">
        <v>2332</v>
      </c>
      <c r="CU115" s="584" t="s">
        <v>1892</v>
      </c>
      <c r="CV115" s="585" t="s">
        <v>1893</v>
      </c>
    </row>
    <row r="116" spans="2:100" ht="21" customHeight="1" x14ac:dyDescent="0.25">
      <c r="B116" s="631"/>
      <c r="C116" s="565"/>
      <c r="CM116" s="582"/>
      <c r="CN116" s="584" t="s">
        <v>2341</v>
      </c>
      <c r="CO116" s="584" t="s">
        <v>1887</v>
      </c>
      <c r="CP116" s="584" t="s">
        <v>1888</v>
      </c>
      <c r="CQ116" s="584" t="s">
        <v>2342</v>
      </c>
      <c r="CR116" s="584" t="s">
        <v>2342</v>
      </c>
      <c r="CS116" s="584" t="s">
        <v>1890</v>
      </c>
      <c r="CT116" s="584" t="s">
        <v>1891</v>
      </c>
      <c r="CU116" s="584" t="s">
        <v>1892</v>
      </c>
      <c r="CV116" s="585" t="s">
        <v>1893</v>
      </c>
    </row>
    <row r="117" spans="2:100" ht="21" customHeight="1" x14ac:dyDescent="0.25">
      <c r="B117" s="623" t="s">
        <v>2343</v>
      </c>
      <c r="C117" s="568"/>
      <c r="CM117" s="582"/>
      <c r="CN117" s="584" t="s">
        <v>2344</v>
      </c>
      <c r="CO117" s="584" t="s">
        <v>1887</v>
      </c>
      <c r="CP117" s="584" t="s">
        <v>1888</v>
      </c>
      <c r="CQ117" s="584" t="s">
        <v>2345</v>
      </c>
      <c r="CR117" s="584" t="s">
        <v>2345</v>
      </c>
      <c r="CS117" s="584" t="s">
        <v>1890</v>
      </c>
      <c r="CT117" s="584" t="s">
        <v>1891</v>
      </c>
      <c r="CU117" s="584" t="s">
        <v>1892</v>
      </c>
      <c r="CV117" s="585" t="s">
        <v>1893</v>
      </c>
    </row>
    <row r="118" spans="2:100" ht="21" customHeight="1" x14ac:dyDescent="0.25">
      <c r="B118" s="625" t="s">
        <v>2036</v>
      </c>
      <c r="C118" s="565" t="s">
        <v>2346</v>
      </c>
      <c r="CM118" s="582"/>
      <c r="CN118" s="584" t="s">
        <v>2347</v>
      </c>
      <c r="CO118" s="584" t="s">
        <v>1887</v>
      </c>
      <c r="CP118" s="584" t="s">
        <v>1888</v>
      </c>
      <c r="CQ118" s="584" t="s">
        <v>2348</v>
      </c>
      <c r="CR118" s="584" t="s">
        <v>2348</v>
      </c>
      <c r="CS118" s="584" t="s">
        <v>1890</v>
      </c>
      <c r="CT118" s="584" t="s">
        <v>1891</v>
      </c>
      <c r="CU118" s="584" t="s">
        <v>1892</v>
      </c>
      <c r="CV118" s="585" t="s">
        <v>1893</v>
      </c>
    </row>
    <row r="119" spans="2:100" ht="21" customHeight="1" x14ac:dyDescent="0.25">
      <c r="B119" s="625" t="s">
        <v>2060</v>
      </c>
      <c r="C119" s="565" t="s">
        <v>2349</v>
      </c>
      <c r="CM119" s="582"/>
      <c r="CN119" s="584" t="s">
        <v>2350</v>
      </c>
      <c r="CO119" s="584" t="s">
        <v>1887</v>
      </c>
      <c r="CP119" s="584" t="s">
        <v>1888</v>
      </c>
      <c r="CQ119" s="584" t="s">
        <v>2351</v>
      </c>
      <c r="CR119" s="584" t="s">
        <v>2352</v>
      </c>
      <c r="CS119" s="584" t="s">
        <v>1890</v>
      </c>
      <c r="CT119" s="584" t="s">
        <v>1891</v>
      </c>
      <c r="CU119" s="584" t="s">
        <v>1892</v>
      </c>
      <c r="CV119" s="585" t="s">
        <v>1893</v>
      </c>
    </row>
    <row r="120" spans="2:100" ht="21" customHeight="1" x14ac:dyDescent="0.25">
      <c r="B120" s="625" t="s">
        <v>2045</v>
      </c>
      <c r="C120" s="565" t="s">
        <v>2353</v>
      </c>
      <c r="CM120" s="582"/>
      <c r="CN120" s="584" t="s">
        <v>2354</v>
      </c>
      <c r="CO120" s="584" t="s">
        <v>1887</v>
      </c>
      <c r="CP120" s="584" t="s">
        <v>1888</v>
      </c>
      <c r="CQ120" s="584" t="s">
        <v>2355</v>
      </c>
      <c r="CR120" s="584" t="s">
        <v>2356</v>
      </c>
      <c r="CS120" s="584" t="s">
        <v>1890</v>
      </c>
      <c r="CT120" s="584" t="s">
        <v>1891</v>
      </c>
      <c r="CU120" s="584" t="s">
        <v>1892</v>
      </c>
      <c r="CV120" s="585" t="s">
        <v>1893</v>
      </c>
    </row>
    <row r="121" spans="2:100" ht="21" customHeight="1" x14ac:dyDescent="0.25">
      <c r="B121" s="630" t="s">
        <v>1993</v>
      </c>
      <c r="C121" s="565" t="s">
        <v>2357</v>
      </c>
      <c r="CM121" s="582"/>
      <c r="CN121" s="584" t="s">
        <v>2358</v>
      </c>
      <c r="CO121" s="584" t="s">
        <v>1887</v>
      </c>
      <c r="CP121" s="584" t="s">
        <v>1888</v>
      </c>
      <c r="CQ121" s="584" t="s">
        <v>2359</v>
      </c>
      <c r="CR121" s="584" t="s">
        <v>2359</v>
      </c>
      <c r="CS121" s="584" t="s">
        <v>1890</v>
      </c>
      <c r="CT121" s="584" t="s">
        <v>1891</v>
      </c>
      <c r="CU121" s="584" t="s">
        <v>1892</v>
      </c>
      <c r="CV121" s="585" t="s">
        <v>1893</v>
      </c>
    </row>
    <row r="122" spans="2:100" ht="21" customHeight="1" x14ac:dyDescent="0.25">
      <c r="B122" s="625" t="s">
        <v>2021</v>
      </c>
      <c r="C122" s="565" t="s">
        <v>2360</v>
      </c>
      <c r="CM122" s="582"/>
      <c r="CN122" s="584" t="s">
        <v>2361</v>
      </c>
      <c r="CO122" s="584" t="s">
        <v>1887</v>
      </c>
      <c r="CP122" s="584" t="s">
        <v>1888</v>
      </c>
      <c r="CQ122" s="584" t="s">
        <v>2362</v>
      </c>
      <c r="CR122" s="584" t="s">
        <v>2362</v>
      </c>
      <c r="CS122" s="584" t="s">
        <v>1890</v>
      </c>
      <c r="CT122" s="584" t="s">
        <v>1891</v>
      </c>
      <c r="CU122" s="584" t="s">
        <v>1892</v>
      </c>
      <c r="CV122" s="585" t="s">
        <v>1893</v>
      </c>
    </row>
    <row r="123" spans="2:100" ht="21" customHeight="1" x14ac:dyDescent="0.25">
      <c r="B123" s="625" t="s">
        <v>2363</v>
      </c>
      <c r="C123" s="565" t="s">
        <v>2364</v>
      </c>
      <c r="CM123" s="582"/>
      <c r="CN123" s="584" t="s">
        <v>2365</v>
      </c>
      <c r="CO123" s="584" t="s">
        <v>1887</v>
      </c>
      <c r="CP123" s="584" t="s">
        <v>1888</v>
      </c>
      <c r="CQ123" s="584" t="s">
        <v>2366</v>
      </c>
      <c r="CR123" s="584" t="s">
        <v>2366</v>
      </c>
      <c r="CS123" s="584" t="s">
        <v>1890</v>
      </c>
      <c r="CT123" s="584" t="s">
        <v>1891</v>
      </c>
      <c r="CU123" s="584" t="s">
        <v>1892</v>
      </c>
      <c r="CV123" s="585" t="s">
        <v>1893</v>
      </c>
    </row>
    <row r="124" spans="2:100" ht="21" customHeight="1" x14ac:dyDescent="0.25">
      <c r="B124" s="630" t="s">
        <v>2027</v>
      </c>
      <c r="C124" s="565" t="s">
        <v>2367</v>
      </c>
      <c r="CM124" s="582"/>
      <c r="CN124" s="584" t="s">
        <v>2368</v>
      </c>
      <c r="CO124" s="584" t="s">
        <v>1887</v>
      </c>
      <c r="CP124" s="584" t="s">
        <v>1888</v>
      </c>
      <c r="CQ124" s="584" t="s">
        <v>2369</v>
      </c>
      <c r="CR124" s="584" t="s">
        <v>2369</v>
      </c>
      <c r="CS124" s="584" t="s">
        <v>1890</v>
      </c>
      <c r="CT124" s="584" t="s">
        <v>1891</v>
      </c>
      <c r="CU124" s="584" t="s">
        <v>1892</v>
      </c>
      <c r="CV124" s="585" t="s">
        <v>1893</v>
      </c>
    </row>
    <row r="125" spans="2:100" ht="21" customHeight="1" x14ac:dyDescent="0.25">
      <c r="B125" s="631"/>
      <c r="C125" s="565"/>
      <c r="CM125" s="582"/>
      <c r="CN125" s="584" t="s">
        <v>2370</v>
      </c>
      <c r="CO125" s="584" t="s">
        <v>1887</v>
      </c>
      <c r="CP125" s="584" t="s">
        <v>1888</v>
      </c>
      <c r="CQ125" s="584" t="s">
        <v>2371</v>
      </c>
      <c r="CR125" s="584" t="s">
        <v>2371</v>
      </c>
      <c r="CS125" s="584" t="s">
        <v>1978</v>
      </c>
      <c r="CT125" s="584" t="s">
        <v>1979</v>
      </c>
      <c r="CU125" s="584" t="s">
        <v>1892</v>
      </c>
      <c r="CV125" s="585" t="s">
        <v>1980</v>
      </c>
    </row>
    <row r="126" spans="2:100" ht="21" customHeight="1" x14ac:dyDescent="0.25">
      <c r="B126" s="625" t="s">
        <v>2372</v>
      </c>
      <c r="C126" s="568"/>
      <c r="CM126" s="582"/>
      <c r="CN126" s="584" t="s">
        <v>2373</v>
      </c>
      <c r="CO126" s="584" t="s">
        <v>1887</v>
      </c>
      <c r="CP126" s="584" t="s">
        <v>1888</v>
      </c>
      <c r="CQ126" s="584" t="s">
        <v>2374</v>
      </c>
      <c r="CR126" s="584" t="s">
        <v>2374</v>
      </c>
      <c r="CS126" s="584" t="s">
        <v>1890</v>
      </c>
      <c r="CT126" s="584" t="s">
        <v>1891</v>
      </c>
      <c r="CU126" s="584" t="s">
        <v>1892</v>
      </c>
      <c r="CV126" s="585" t="s">
        <v>1893</v>
      </c>
    </row>
    <row r="127" spans="2:100" ht="21" customHeight="1" x14ac:dyDescent="0.25">
      <c r="B127" s="625" t="s">
        <v>2375</v>
      </c>
      <c r="C127" s="565" t="s">
        <v>1887</v>
      </c>
      <c r="CM127" s="582"/>
      <c r="CN127" s="584" t="s">
        <v>2376</v>
      </c>
      <c r="CO127" s="584" t="s">
        <v>1887</v>
      </c>
      <c r="CP127" s="584" t="s">
        <v>1888</v>
      </c>
      <c r="CQ127" s="584" t="s">
        <v>899</v>
      </c>
      <c r="CR127" s="584" t="s">
        <v>899</v>
      </c>
      <c r="CS127" s="584" t="s">
        <v>1890</v>
      </c>
      <c r="CT127" s="584" t="s">
        <v>1891</v>
      </c>
      <c r="CU127" s="584" t="s">
        <v>1892</v>
      </c>
      <c r="CV127" s="585" t="s">
        <v>1893</v>
      </c>
    </row>
    <row r="128" spans="2:100" ht="21" customHeight="1" x14ac:dyDescent="0.25">
      <c r="B128" s="625" t="s">
        <v>2377</v>
      </c>
      <c r="C128" s="565" t="s">
        <v>1908</v>
      </c>
      <c r="CM128" s="582"/>
      <c r="CN128" s="584" t="s">
        <v>2378</v>
      </c>
      <c r="CO128" s="584" t="s">
        <v>1887</v>
      </c>
      <c r="CP128" s="584" t="s">
        <v>1888</v>
      </c>
      <c r="CQ128" s="584" t="s">
        <v>936</v>
      </c>
      <c r="CR128" s="584" t="s">
        <v>936</v>
      </c>
      <c r="CS128" s="584" t="s">
        <v>1890</v>
      </c>
      <c r="CT128" s="584" t="s">
        <v>1891</v>
      </c>
      <c r="CU128" s="584" t="s">
        <v>1892</v>
      </c>
      <c r="CV128" s="585" t="s">
        <v>1893</v>
      </c>
    </row>
    <row r="129" spans="2:100" ht="21" customHeight="1" x14ac:dyDescent="0.25">
      <c r="B129" s="625" t="s">
        <v>2379</v>
      </c>
      <c r="C129" s="565" t="s">
        <v>1909</v>
      </c>
      <c r="CM129" s="582"/>
      <c r="CN129" s="584" t="s">
        <v>2380</v>
      </c>
      <c r="CO129" s="584" t="s">
        <v>1887</v>
      </c>
      <c r="CP129" s="584" t="s">
        <v>1888</v>
      </c>
      <c r="CQ129" s="584" t="s">
        <v>2381</v>
      </c>
      <c r="CR129" s="584" t="s">
        <v>2382</v>
      </c>
      <c r="CS129" s="584" t="s">
        <v>1890</v>
      </c>
      <c r="CT129" s="584" t="s">
        <v>1891</v>
      </c>
      <c r="CU129" s="584" t="s">
        <v>1892</v>
      </c>
      <c r="CV129" s="585" t="s">
        <v>1893</v>
      </c>
    </row>
    <row r="130" spans="2:100" ht="21" customHeight="1" x14ac:dyDescent="0.25">
      <c r="B130" s="625" t="s">
        <v>2383</v>
      </c>
      <c r="C130" s="565" t="s">
        <v>1910</v>
      </c>
      <c r="CM130" s="582"/>
      <c r="CN130" s="584" t="s">
        <v>2384</v>
      </c>
      <c r="CO130" s="584" t="s">
        <v>1887</v>
      </c>
      <c r="CP130" s="584" t="s">
        <v>1888</v>
      </c>
      <c r="CQ130" s="584" t="s">
        <v>2385</v>
      </c>
      <c r="CR130" s="584" t="s">
        <v>2385</v>
      </c>
      <c r="CS130" s="584" t="s">
        <v>1890</v>
      </c>
      <c r="CT130" s="584" t="s">
        <v>1891</v>
      </c>
      <c r="CU130" s="584" t="s">
        <v>1892</v>
      </c>
      <c r="CV130" s="585" t="s">
        <v>1893</v>
      </c>
    </row>
    <row r="131" spans="2:100" ht="21" customHeight="1" x14ac:dyDescent="0.25">
      <c r="B131" s="625" t="s">
        <v>2386</v>
      </c>
      <c r="C131" s="565" t="s">
        <v>1911</v>
      </c>
      <c r="CM131" s="582"/>
      <c r="CN131" s="584" t="s">
        <v>2387</v>
      </c>
      <c r="CO131" s="584" t="s">
        <v>1887</v>
      </c>
      <c r="CP131" s="584" t="s">
        <v>1888</v>
      </c>
      <c r="CQ131" s="584" t="s">
        <v>2388</v>
      </c>
      <c r="CR131" s="584" t="s">
        <v>2388</v>
      </c>
      <c r="CS131" s="584" t="s">
        <v>1890</v>
      </c>
      <c r="CT131" s="584" t="s">
        <v>1891</v>
      </c>
      <c r="CU131" s="584" t="s">
        <v>1892</v>
      </c>
      <c r="CV131" s="585" t="s">
        <v>1893</v>
      </c>
    </row>
    <row r="132" spans="2:100" ht="21" customHeight="1" x14ac:dyDescent="0.25">
      <c r="B132" s="625" t="s">
        <v>2389</v>
      </c>
      <c r="C132" s="565" t="s">
        <v>799</v>
      </c>
      <c r="CM132" s="582"/>
      <c r="CN132" s="584" t="s">
        <v>2390</v>
      </c>
      <c r="CO132" s="584" t="s">
        <v>1887</v>
      </c>
      <c r="CP132" s="584" t="s">
        <v>1888</v>
      </c>
      <c r="CQ132" s="584" t="s">
        <v>2391</v>
      </c>
      <c r="CR132" s="584" t="s">
        <v>2391</v>
      </c>
      <c r="CS132" s="584" t="s">
        <v>1890</v>
      </c>
      <c r="CT132" s="584" t="s">
        <v>1891</v>
      </c>
      <c r="CU132" s="584" t="s">
        <v>1892</v>
      </c>
      <c r="CV132" s="585" t="s">
        <v>1893</v>
      </c>
    </row>
    <row r="133" spans="2:100" ht="21" customHeight="1" x14ac:dyDescent="0.25">
      <c r="B133" s="625" t="s">
        <v>2392</v>
      </c>
      <c r="C133" s="565" t="s">
        <v>1912</v>
      </c>
      <c r="CM133" s="582"/>
      <c r="CN133" s="584" t="s">
        <v>2393</v>
      </c>
      <c r="CO133" s="584" t="s">
        <v>1887</v>
      </c>
      <c r="CP133" s="584" t="s">
        <v>1888</v>
      </c>
      <c r="CQ133" s="584" t="s">
        <v>2394</v>
      </c>
      <c r="CR133" s="584" t="s">
        <v>2395</v>
      </c>
      <c r="CS133" s="584" t="s">
        <v>1890</v>
      </c>
      <c r="CT133" s="584" t="s">
        <v>1891</v>
      </c>
      <c r="CU133" s="584" t="s">
        <v>1892</v>
      </c>
      <c r="CV133" s="585" t="s">
        <v>1893</v>
      </c>
    </row>
    <row r="134" spans="2:100" ht="21" customHeight="1" x14ac:dyDescent="0.25">
      <c r="B134" s="625" t="s">
        <v>2396</v>
      </c>
      <c r="C134" s="565" t="s">
        <v>1913</v>
      </c>
      <c r="CM134" s="582"/>
      <c r="CN134" s="584" t="s">
        <v>2397</v>
      </c>
      <c r="CO134" s="584" t="s">
        <v>1887</v>
      </c>
      <c r="CP134" s="584" t="s">
        <v>1888</v>
      </c>
      <c r="CQ134" s="584" t="s">
        <v>2398</v>
      </c>
      <c r="CR134" s="584" t="s">
        <v>2398</v>
      </c>
      <c r="CS134" s="584" t="s">
        <v>1890</v>
      </c>
      <c r="CT134" s="584" t="s">
        <v>1891</v>
      </c>
      <c r="CU134" s="584" t="s">
        <v>1892</v>
      </c>
      <c r="CV134" s="585" t="s">
        <v>1893</v>
      </c>
    </row>
    <row r="135" spans="2:100" ht="21" customHeight="1" x14ac:dyDescent="0.25">
      <c r="B135" s="625" t="s">
        <v>2399</v>
      </c>
      <c r="C135" s="565" t="s">
        <v>1914</v>
      </c>
      <c r="CM135" s="582"/>
      <c r="CN135" s="584" t="s">
        <v>2400</v>
      </c>
      <c r="CO135" s="584" t="s">
        <v>1887</v>
      </c>
      <c r="CP135" s="584" t="s">
        <v>1888</v>
      </c>
      <c r="CQ135" s="584" t="s">
        <v>2401</v>
      </c>
      <c r="CR135" s="584" t="s">
        <v>2401</v>
      </c>
      <c r="CS135" s="584" t="s">
        <v>1978</v>
      </c>
      <c r="CT135" s="584" t="s">
        <v>1979</v>
      </c>
      <c r="CU135" s="584" t="s">
        <v>1892</v>
      </c>
      <c r="CV135" s="585" t="s">
        <v>1980</v>
      </c>
    </row>
    <row r="136" spans="2:100" ht="21" customHeight="1" x14ac:dyDescent="0.25">
      <c r="B136" s="625" t="s">
        <v>2402</v>
      </c>
      <c r="C136" s="565" t="s">
        <v>1915</v>
      </c>
      <c r="CM136" s="582"/>
      <c r="CN136" s="584" t="s">
        <v>2403</v>
      </c>
      <c r="CO136" s="584" t="s">
        <v>1887</v>
      </c>
      <c r="CP136" s="584" t="s">
        <v>1888</v>
      </c>
      <c r="CQ136" s="584" t="s">
        <v>2404</v>
      </c>
      <c r="CR136" s="584" t="s">
        <v>2404</v>
      </c>
      <c r="CS136" s="584" t="s">
        <v>1890</v>
      </c>
      <c r="CT136" s="584" t="s">
        <v>1891</v>
      </c>
      <c r="CU136" s="584" t="s">
        <v>1892</v>
      </c>
      <c r="CV136" s="585" t="s">
        <v>1893</v>
      </c>
    </row>
    <row r="137" spans="2:100" ht="21" customHeight="1" x14ac:dyDescent="0.25">
      <c r="B137" s="625" t="s">
        <v>2405</v>
      </c>
      <c r="C137" s="565" t="s">
        <v>2406</v>
      </c>
      <c r="CM137" s="582"/>
      <c r="CN137" s="584" t="s">
        <v>2407</v>
      </c>
      <c r="CO137" s="584" t="s">
        <v>1887</v>
      </c>
      <c r="CP137" s="584" t="s">
        <v>1888</v>
      </c>
      <c r="CQ137" s="584" t="s">
        <v>2408</v>
      </c>
      <c r="CR137" s="584" t="s">
        <v>2408</v>
      </c>
      <c r="CS137" s="584" t="s">
        <v>1890</v>
      </c>
      <c r="CT137" s="584" t="s">
        <v>1891</v>
      </c>
      <c r="CU137" s="584" t="s">
        <v>1892</v>
      </c>
      <c r="CV137" s="585" t="s">
        <v>1893</v>
      </c>
    </row>
    <row r="138" spans="2:100" ht="21" customHeight="1" x14ac:dyDescent="0.25">
      <c r="B138" s="625" t="s">
        <v>2409</v>
      </c>
      <c r="C138" s="565" t="s">
        <v>2410</v>
      </c>
      <c r="CM138" s="582"/>
      <c r="CN138" s="584" t="s">
        <v>2411</v>
      </c>
      <c r="CO138" s="584" t="s">
        <v>1887</v>
      </c>
      <c r="CP138" s="584" t="s">
        <v>1888</v>
      </c>
      <c r="CQ138" s="584" t="s">
        <v>2412</v>
      </c>
      <c r="CR138" s="584" t="s">
        <v>2413</v>
      </c>
      <c r="CS138" s="584" t="s">
        <v>1890</v>
      </c>
      <c r="CT138" s="584" t="s">
        <v>1891</v>
      </c>
      <c r="CU138" s="584" t="s">
        <v>1892</v>
      </c>
      <c r="CV138" s="585" t="s">
        <v>1893</v>
      </c>
    </row>
    <row r="139" spans="2:100" ht="21" customHeight="1" x14ac:dyDescent="0.25">
      <c r="B139" s="630" t="s">
        <v>2414</v>
      </c>
      <c r="C139" s="565" t="s">
        <v>648</v>
      </c>
      <c r="CM139" s="582"/>
      <c r="CN139" s="584" t="s">
        <v>2415</v>
      </c>
      <c r="CO139" s="584" t="s">
        <v>1887</v>
      </c>
      <c r="CP139" s="584" t="s">
        <v>1888</v>
      </c>
      <c r="CQ139" s="584" t="s">
        <v>2416</v>
      </c>
      <c r="CR139" s="584" t="s">
        <v>2416</v>
      </c>
      <c r="CS139" s="584" t="s">
        <v>1890</v>
      </c>
      <c r="CT139" s="584" t="s">
        <v>1891</v>
      </c>
      <c r="CU139" s="584" t="s">
        <v>1892</v>
      </c>
      <c r="CV139" s="585" t="s">
        <v>1893</v>
      </c>
    </row>
    <row r="140" spans="2:100" ht="21" customHeight="1" x14ac:dyDescent="0.25">
      <c r="B140" s="625" t="s">
        <v>2417</v>
      </c>
      <c r="C140" s="565" t="s">
        <v>1918</v>
      </c>
      <c r="CM140" s="582"/>
      <c r="CN140" s="584" t="s">
        <v>2418</v>
      </c>
      <c r="CO140" s="584" t="s">
        <v>1887</v>
      </c>
      <c r="CP140" s="584" t="s">
        <v>1888</v>
      </c>
      <c r="CQ140" s="584" t="s">
        <v>2419</v>
      </c>
      <c r="CR140" s="584" t="s">
        <v>2419</v>
      </c>
      <c r="CS140" s="584" t="s">
        <v>1890</v>
      </c>
      <c r="CT140" s="584" t="s">
        <v>1891</v>
      </c>
      <c r="CU140" s="584" t="s">
        <v>1892</v>
      </c>
      <c r="CV140" s="585" t="s">
        <v>1893</v>
      </c>
    </row>
    <row r="141" spans="2:100" ht="21" customHeight="1" x14ac:dyDescent="0.25">
      <c r="B141" s="631"/>
      <c r="C141" s="565"/>
      <c r="CM141" s="582"/>
      <c r="CN141" s="584" t="s">
        <v>2420</v>
      </c>
      <c r="CO141" s="584" t="s">
        <v>1887</v>
      </c>
      <c r="CP141" s="584" t="s">
        <v>1888</v>
      </c>
      <c r="CQ141" s="584" t="s">
        <v>2421</v>
      </c>
      <c r="CR141" s="584" t="s">
        <v>2421</v>
      </c>
      <c r="CS141" s="584" t="s">
        <v>1890</v>
      </c>
      <c r="CT141" s="584" t="s">
        <v>1891</v>
      </c>
      <c r="CU141" s="584" t="s">
        <v>1892</v>
      </c>
      <c r="CV141" s="585" t="s">
        <v>1893</v>
      </c>
    </row>
    <row r="142" spans="2:100" ht="21" customHeight="1" x14ac:dyDescent="0.25">
      <c r="B142" s="625" t="s">
        <v>2422</v>
      </c>
      <c r="C142" s="568"/>
      <c r="CM142" s="582"/>
      <c r="CN142" s="584" t="s">
        <v>2423</v>
      </c>
      <c r="CO142" s="584" t="s">
        <v>1887</v>
      </c>
      <c r="CP142" s="584" t="s">
        <v>1888</v>
      </c>
      <c r="CQ142" s="584" t="s">
        <v>2424</v>
      </c>
      <c r="CR142" s="584" t="s">
        <v>2424</v>
      </c>
      <c r="CS142" s="584" t="s">
        <v>1890</v>
      </c>
      <c r="CT142" s="584" t="s">
        <v>1891</v>
      </c>
      <c r="CU142" s="584" t="s">
        <v>1892</v>
      </c>
      <c r="CV142" s="585" t="s">
        <v>1893</v>
      </c>
    </row>
    <row r="143" spans="2:100" ht="21" customHeight="1" x14ac:dyDescent="0.25">
      <c r="B143" s="630" t="s">
        <v>2425</v>
      </c>
      <c r="C143" s="565" t="s">
        <v>2426</v>
      </c>
      <c r="CM143" s="582"/>
      <c r="CN143" s="584" t="s">
        <v>2427</v>
      </c>
      <c r="CO143" s="584" t="s">
        <v>1887</v>
      </c>
      <c r="CP143" s="584" t="s">
        <v>1888</v>
      </c>
      <c r="CQ143" s="584" t="s">
        <v>2428</v>
      </c>
      <c r="CR143" s="584" t="s">
        <v>2429</v>
      </c>
      <c r="CS143" s="584" t="s">
        <v>1890</v>
      </c>
      <c r="CT143" s="584" t="s">
        <v>1891</v>
      </c>
      <c r="CU143" s="584" t="s">
        <v>1892</v>
      </c>
      <c r="CV143" s="585" t="s">
        <v>1893</v>
      </c>
    </row>
    <row r="144" spans="2:100" ht="21" customHeight="1" x14ac:dyDescent="0.25">
      <c r="B144" s="625" t="s">
        <v>2430</v>
      </c>
      <c r="C144" s="565" t="s">
        <v>2431</v>
      </c>
      <c r="CM144" s="582"/>
      <c r="CN144" s="584" t="s">
        <v>2432</v>
      </c>
      <c r="CO144" s="584" t="s">
        <v>1887</v>
      </c>
      <c r="CP144" s="584" t="s">
        <v>1888</v>
      </c>
      <c r="CQ144" s="584" t="s">
        <v>2433</v>
      </c>
      <c r="CR144" s="584" t="s">
        <v>2433</v>
      </c>
      <c r="CS144" s="584" t="s">
        <v>1890</v>
      </c>
      <c r="CT144" s="584" t="s">
        <v>1891</v>
      </c>
      <c r="CU144" s="584" t="s">
        <v>1892</v>
      </c>
      <c r="CV144" s="585" t="s">
        <v>1893</v>
      </c>
    </row>
    <row r="145" spans="2:100" ht="21" customHeight="1" x14ac:dyDescent="0.25">
      <c r="B145" s="625" t="s">
        <v>2434</v>
      </c>
      <c r="C145" s="565" t="s">
        <v>2435</v>
      </c>
      <c r="CM145" s="582"/>
      <c r="CN145" s="584" t="s">
        <v>2436</v>
      </c>
      <c r="CO145" s="584" t="s">
        <v>1887</v>
      </c>
      <c r="CP145" s="584" t="s">
        <v>1888</v>
      </c>
      <c r="CQ145" s="584" t="s">
        <v>2437</v>
      </c>
      <c r="CR145" s="584" t="s">
        <v>2437</v>
      </c>
      <c r="CS145" s="584" t="s">
        <v>1890</v>
      </c>
      <c r="CT145" s="584" t="s">
        <v>1891</v>
      </c>
      <c r="CU145" s="584" t="s">
        <v>1892</v>
      </c>
      <c r="CV145" s="585" t="s">
        <v>1893</v>
      </c>
    </row>
    <row r="146" spans="2:100" ht="21" customHeight="1" x14ac:dyDescent="0.25">
      <c r="B146" s="625" t="s">
        <v>2438</v>
      </c>
      <c r="C146" s="565" t="s">
        <v>2439</v>
      </c>
      <c r="CM146" s="582"/>
      <c r="CN146" s="584" t="s">
        <v>2440</v>
      </c>
      <c r="CO146" s="584" t="s">
        <v>1887</v>
      </c>
      <c r="CP146" s="584" t="s">
        <v>1888</v>
      </c>
      <c r="CQ146" s="584" t="s">
        <v>2441</v>
      </c>
      <c r="CR146" s="584" t="s">
        <v>2441</v>
      </c>
      <c r="CS146" s="584" t="s">
        <v>1890</v>
      </c>
      <c r="CT146" s="584" t="s">
        <v>1891</v>
      </c>
      <c r="CU146" s="584" t="s">
        <v>1892</v>
      </c>
      <c r="CV146" s="585" t="s">
        <v>1893</v>
      </c>
    </row>
    <row r="147" spans="2:100" ht="21" customHeight="1" x14ac:dyDescent="0.25">
      <c r="B147" s="630" t="s">
        <v>2442</v>
      </c>
      <c r="C147" s="565" t="s">
        <v>2443</v>
      </c>
      <c r="CM147" s="582"/>
      <c r="CN147" s="584" t="s">
        <v>2444</v>
      </c>
      <c r="CO147" s="584" t="s">
        <v>1887</v>
      </c>
      <c r="CP147" s="584" t="s">
        <v>1888</v>
      </c>
      <c r="CQ147" s="584" t="s">
        <v>2445</v>
      </c>
      <c r="CR147" s="584" t="s">
        <v>2445</v>
      </c>
      <c r="CS147" s="584" t="s">
        <v>1890</v>
      </c>
      <c r="CT147" s="584" t="s">
        <v>1891</v>
      </c>
      <c r="CU147" s="584" t="s">
        <v>1892</v>
      </c>
      <c r="CV147" s="585" t="s">
        <v>1893</v>
      </c>
    </row>
    <row r="148" spans="2:100" ht="21" customHeight="1" x14ac:dyDescent="0.25">
      <c r="CM148" s="582"/>
      <c r="CN148" s="584" t="s">
        <v>2446</v>
      </c>
      <c r="CO148" s="584" t="s">
        <v>1887</v>
      </c>
      <c r="CP148" s="584" t="s">
        <v>2325</v>
      </c>
      <c r="CQ148" s="584" t="s">
        <v>2447</v>
      </c>
      <c r="CR148" s="584" t="s">
        <v>2447</v>
      </c>
      <c r="CS148" s="584" t="s">
        <v>1890</v>
      </c>
      <c r="CT148" s="584" t="s">
        <v>2332</v>
      </c>
      <c r="CU148" s="584" t="s">
        <v>1892</v>
      </c>
      <c r="CV148" s="585" t="s">
        <v>1893</v>
      </c>
    </row>
    <row r="149" spans="2:100" ht="21" customHeight="1" x14ac:dyDescent="0.25">
      <c r="B149" s="625" t="s">
        <v>2448</v>
      </c>
      <c r="C149" s="568"/>
      <c r="CM149" s="582"/>
      <c r="CN149" s="584" t="s">
        <v>2449</v>
      </c>
      <c r="CO149" s="584" t="s">
        <v>1887</v>
      </c>
      <c r="CP149" s="584" t="s">
        <v>1888</v>
      </c>
      <c r="CQ149" s="584" t="s">
        <v>2450</v>
      </c>
      <c r="CR149" s="584" t="s">
        <v>2450</v>
      </c>
      <c r="CS149" s="584" t="s">
        <v>1978</v>
      </c>
      <c r="CT149" s="584" t="s">
        <v>1979</v>
      </c>
      <c r="CU149" s="584" t="s">
        <v>1892</v>
      </c>
      <c r="CV149" s="585" t="s">
        <v>1980</v>
      </c>
    </row>
    <row r="150" spans="2:100" ht="21" customHeight="1" x14ac:dyDescent="0.25">
      <c r="B150" s="625" t="s">
        <v>2375</v>
      </c>
      <c r="C150" s="565" t="s">
        <v>2451</v>
      </c>
      <c r="CM150" s="582"/>
      <c r="CN150" s="584" t="s">
        <v>2452</v>
      </c>
      <c r="CO150" s="584" t="s">
        <v>1887</v>
      </c>
      <c r="CP150" s="584" t="s">
        <v>1888</v>
      </c>
      <c r="CQ150" s="584" t="s">
        <v>2453</v>
      </c>
      <c r="CR150" s="584" t="s">
        <v>2453</v>
      </c>
      <c r="CS150" s="584" t="s">
        <v>1890</v>
      </c>
      <c r="CT150" s="584" t="s">
        <v>1891</v>
      </c>
      <c r="CU150" s="584" t="s">
        <v>1892</v>
      </c>
      <c r="CV150" s="585" t="s">
        <v>1893</v>
      </c>
    </row>
    <row r="151" spans="2:100" ht="21" customHeight="1" x14ac:dyDescent="0.25">
      <c r="B151" s="625" t="s">
        <v>2377</v>
      </c>
      <c r="C151" s="565" t="s">
        <v>2454</v>
      </c>
      <c r="CM151" s="582"/>
      <c r="CN151" s="584" t="s">
        <v>2455</v>
      </c>
      <c r="CO151" s="584" t="s">
        <v>1887</v>
      </c>
      <c r="CP151" s="584" t="s">
        <v>1888</v>
      </c>
      <c r="CQ151" s="584" t="s">
        <v>2456</v>
      </c>
      <c r="CR151" s="584" t="s">
        <v>2456</v>
      </c>
      <c r="CS151" s="584" t="s">
        <v>1890</v>
      </c>
      <c r="CT151" s="584" t="s">
        <v>1891</v>
      </c>
      <c r="CU151" s="584" t="s">
        <v>1892</v>
      </c>
      <c r="CV151" s="585" t="s">
        <v>1893</v>
      </c>
    </row>
    <row r="152" spans="2:100" ht="21" customHeight="1" x14ac:dyDescent="0.25">
      <c r="B152" s="625" t="s">
        <v>2379</v>
      </c>
      <c r="C152" s="565" t="s">
        <v>2457</v>
      </c>
      <c r="CM152" s="582"/>
      <c r="CN152" s="584" t="s">
        <v>2458</v>
      </c>
      <c r="CO152" s="584" t="s">
        <v>1887</v>
      </c>
      <c r="CP152" s="584" t="s">
        <v>2325</v>
      </c>
      <c r="CQ152" s="584" t="s">
        <v>2459</v>
      </c>
      <c r="CR152" s="584" t="s">
        <v>2460</v>
      </c>
      <c r="CS152" s="584" t="s">
        <v>1890</v>
      </c>
      <c r="CT152" s="584" t="s">
        <v>2332</v>
      </c>
      <c r="CU152" s="584" t="s">
        <v>1892</v>
      </c>
      <c r="CV152" s="585" t="s">
        <v>1893</v>
      </c>
    </row>
    <row r="153" spans="2:100" ht="21" customHeight="1" x14ac:dyDescent="0.25">
      <c r="B153" s="625" t="s">
        <v>2383</v>
      </c>
      <c r="C153" s="565" t="s">
        <v>2461</v>
      </c>
      <c r="CM153" s="582"/>
      <c r="CN153" s="584" t="s">
        <v>2462</v>
      </c>
      <c r="CO153" s="584" t="s">
        <v>1887</v>
      </c>
      <c r="CP153" s="584" t="s">
        <v>2325</v>
      </c>
      <c r="CQ153" s="584" t="s">
        <v>2463</v>
      </c>
      <c r="CR153" s="584" t="s">
        <v>2463</v>
      </c>
      <c r="CS153" s="584" t="s">
        <v>1890</v>
      </c>
      <c r="CT153" s="584" t="s">
        <v>2332</v>
      </c>
      <c r="CU153" s="584" t="s">
        <v>1892</v>
      </c>
      <c r="CV153" s="585" t="s">
        <v>1893</v>
      </c>
    </row>
    <row r="154" spans="2:100" ht="21" customHeight="1" x14ac:dyDescent="0.25">
      <c r="B154" s="625" t="s">
        <v>2386</v>
      </c>
      <c r="C154" s="565" t="s">
        <v>2464</v>
      </c>
      <c r="CM154" s="582"/>
      <c r="CN154" s="584" t="s">
        <v>2465</v>
      </c>
      <c r="CO154" s="584" t="s">
        <v>1887</v>
      </c>
      <c r="CP154" s="584" t="s">
        <v>2325</v>
      </c>
      <c r="CQ154" s="584" t="s">
        <v>2466</v>
      </c>
      <c r="CR154" s="584" t="s">
        <v>2466</v>
      </c>
      <c r="CS154" s="584" t="s">
        <v>1978</v>
      </c>
      <c r="CT154" s="584" t="s">
        <v>2327</v>
      </c>
      <c r="CU154" s="584" t="s">
        <v>1892</v>
      </c>
      <c r="CV154" s="585" t="s">
        <v>1980</v>
      </c>
    </row>
    <row r="155" spans="2:100" ht="21" customHeight="1" x14ac:dyDescent="0.25">
      <c r="B155" s="625" t="s">
        <v>2389</v>
      </c>
      <c r="C155" s="565" t="s">
        <v>2467</v>
      </c>
      <c r="CM155" s="582"/>
      <c r="CN155" s="584" t="s">
        <v>2468</v>
      </c>
      <c r="CO155" s="584" t="s">
        <v>1887</v>
      </c>
      <c r="CP155" s="584" t="s">
        <v>2325</v>
      </c>
      <c r="CQ155" s="584" t="s">
        <v>2469</v>
      </c>
      <c r="CR155" s="584" t="s">
        <v>2469</v>
      </c>
      <c r="CS155" s="584" t="s">
        <v>1978</v>
      </c>
      <c r="CT155" s="584" t="s">
        <v>2327</v>
      </c>
      <c r="CU155" s="584" t="s">
        <v>1892</v>
      </c>
      <c r="CV155" s="585" t="s">
        <v>1980</v>
      </c>
    </row>
    <row r="156" spans="2:100" x14ac:dyDescent="0.25">
      <c r="CM156" s="582"/>
      <c r="CN156" s="584" t="s">
        <v>2470</v>
      </c>
      <c r="CO156" s="584" t="s">
        <v>1887</v>
      </c>
      <c r="CP156" s="584" t="s">
        <v>2325</v>
      </c>
      <c r="CQ156" s="584" t="s">
        <v>2471</v>
      </c>
      <c r="CR156" s="584" t="s">
        <v>2471</v>
      </c>
      <c r="CS156" s="584" t="s">
        <v>1890</v>
      </c>
      <c r="CT156" s="584" t="s">
        <v>2332</v>
      </c>
      <c r="CU156" s="584" t="s">
        <v>1892</v>
      </c>
      <c r="CV156" s="585" t="s">
        <v>1893</v>
      </c>
    </row>
    <row r="157" spans="2:100" x14ac:dyDescent="0.25">
      <c r="CM157" s="582"/>
      <c r="CN157" s="584" t="s">
        <v>2472</v>
      </c>
      <c r="CO157" s="584" t="s">
        <v>1887</v>
      </c>
      <c r="CP157" s="584" t="s">
        <v>2325</v>
      </c>
      <c r="CQ157" s="584" t="s">
        <v>2473</v>
      </c>
      <c r="CR157" s="584" t="s">
        <v>2473</v>
      </c>
      <c r="CS157" s="584" t="s">
        <v>1890</v>
      </c>
      <c r="CT157" s="584" t="s">
        <v>2332</v>
      </c>
      <c r="CU157" s="584" t="s">
        <v>1892</v>
      </c>
      <c r="CV157" s="585" t="s">
        <v>1893</v>
      </c>
    </row>
    <row r="158" spans="2:100" x14ac:dyDescent="0.25">
      <c r="CM158" s="582"/>
      <c r="CN158" s="584" t="s">
        <v>2474</v>
      </c>
      <c r="CO158" s="584" t="s">
        <v>1887</v>
      </c>
      <c r="CP158" s="584" t="s">
        <v>2325</v>
      </c>
      <c r="CQ158" s="584" t="s">
        <v>2475</v>
      </c>
      <c r="CR158" s="584" t="s">
        <v>2476</v>
      </c>
      <c r="CS158" s="584" t="s">
        <v>1890</v>
      </c>
      <c r="CT158" s="584" t="s">
        <v>2332</v>
      </c>
      <c r="CU158" s="584" t="s">
        <v>1892</v>
      </c>
      <c r="CV158" s="585" t="s">
        <v>1893</v>
      </c>
    </row>
    <row r="159" spans="2:100" x14ac:dyDescent="0.25">
      <c r="CM159" s="582"/>
      <c r="CN159" s="584" t="s">
        <v>2477</v>
      </c>
      <c r="CO159" s="584" t="s">
        <v>1887</v>
      </c>
      <c r="CP159" s="584" t="s">
        <v>2325</v>
      </c>
      <c r="CQ159" s="584" t="s">
        <v>2478</v>
      </c>
      <c r="CR159" s="584" t="s">
        <v>2478</v>
      </c>
      <c r="CS159" s="584" t="s">
        <v>1890</v>
      </c>
      <c r="CT159" s="584" t="s">
        <v>2332</v>
      </c>
      <c r="CU159" s="584" t="s">
        <v>1892</v>
      </c>
      <c r="CV159" s="585" t="s">
        <v>1893</v>
      </c>
    </row>
    <row r="160" spans="2:100" x14ac:dyDescent="0.25">
      <c r="CM160" s="582"/>
      <c r="CN160" s="584" t="s">
        <v>2479</v>
      </c>
      <c r="CO160" s="584" t="s">
        <v>1887</v>
      </c>
      <c r="CP160" s="584" t="s">
        <v>2325</v>
      </c>
      <c r="CQ160" s="584" t="s">
        <v>2480</v>
      </c>
      <c r="CR160" s="584" t="s">
        <v>2480</v>
      </c>
      <c r="CS160" s="584" t="s">
        <v>1890</v>
      </c>
      <c r="CT160" s="584" t="s">
        <v>2332</v>
      </c>
      <c r="CU160" s="584" t="s">
        <v>1892</v>
      </c>
      <c r="CV160" s="585" t="s">
        <v>1893</v>
      </c>
    </row>
    <row r="161" spans="91:100" x14ac:dyDescent="0.25">
      <c r="CM161" s="582"/>
      <c r="CN161" s="584" t="s">
        <v>2481</v>
      </c>
      <c r="CO161" s="584" t="s">
        <v>1887</v>
      </c>
      <c r="CP161" s="584" t="s">
        <v>2325</v>
      </c>
      <c r="CQ161" s="584" t="s">
        <v>2482</v>
      </c>
      <c r="CR161" s="584" t="s">
        <v>2482</v>
      </c>
      <c r="CS161" s="584" t="s">
        <v>1890</v>
      </c>
      <c r="CT161" s="584" t="s">
        <v>2332</v>
      </c>
      <c r="CU161" s="584" t="s">
        <v>1892</v>
      </c>
      <c r="CV161" s="585" t="s">
        <v>1893</v>
      </c>
    </row>
    <row r="162" spans="91:100" x14ac:dyDescent="0.25">
      <c r="CM162" s="582"/>
      <c r="CN162" s="584" t="s">
        <v>2483</v>
      </c>
      <c r="CO162" s="584" t="s">
        <v>1887</v>
      </c>
      <c r="CP162" s="584" t="s">
        <v>2325</v>
      </c>
      <c r="CQ162" s="584" t="s">
        <v>2484</v>
      </c>
      <c r="CR162" s="584" t="s">
        <v>2484</v>
      </c>
      <c r="CS162" s="584" t="s">
        <v>1890</v>
      </c>
      <c r="CT162" s="584" t="s">
        <v>2332</v>
      </c>
      <c r="CU162" s="584" t="s">
        <v>1892</v>
      </c>
      <c r="CV162" s="585" t="s">
        <v>1893</v>
      </c>
    </row>
    <row r="163" spans="91:100" x14ac:dyDescent="0.25">
      <c r="CM163" s="582"/>
      <c r="CN163" s="584" t="s">
        <v>2485</v>
      </c>
      <c r="CO163" s="584" t="s">
        <v>1887</v>
      </c>
      <c r="CP163" s="584" t="s">
        <v>2325</v>
      </c>
      <c r="CQ163" s="584" t="s">
        <v>2486</v>
      </c>
      <c r="CR163" s="584" t="s">
        <v>2486</v>
      </c>
      <c r="CS163" s="584" t="s">
        <v>1890</v>
      </c>
      <c r="CT163" s="584" t="s">
        <v>2332</v>
      </c>
      <c r="CU163" s="584" t="s">
        <v>1892</v>
      </c>
      <c r="CV163" s="585" t="s">
        <v>1893</v>
      </c>
    </row>
    <row r="164" spans="91:100" x14ac:dyDescent="0.25">
      <c r="CM164" s="582"/>
      <c r="CN164" s="584" t="s">
        <v>2487</v>
      </c>
      <c r="CO164" s="584" t="s">
        <v>1887</v>
      </c>
      <c r="CP164" s="584" t="s">
        <v>2325</v>
      </c>
      <c r="CQ164" s="584" t="s">
        <v>2488</v>
      </c>
      <c r="CR164" s="584" t="s">
        <v>2488</v>
      </c>
      <c r="CS164" s="584" t="s">
        <v>1890</v>
      </c>
      <c r="CT164" s="584" t="s">
        <v>2332</v>
      </c>
      <c r="CU164" s="584" t="s">
        <v>1892</v>
      </c>
      <c r="CV164" s="585" t="s">
        <v>1893</v>
      </c>
    </row>
    <row r="165" spans="91:100" x14ac:dyDescent="0.25">
      <c r="CM165" s="582"/>
      <c r="CN165" s="584" t="s">
        <v>2489</v>
      </c>
      <c r="CO165" s="584" t="s">
        <v>1887</v>
      </c>
      <c r="CP165" s="584" t="s">
        <v>2325</v>
      </c>
      <c r="CQ165" s="584" t="s">
        <v>2490</v>
      </c>
      <c r="CR165" s="584" t="s">
        <v>2490</v>
      </c>
      <c r="CS165" s="584" t="s">
        <v>1890</v>
      </c>
      <c r="CT165" s="584" t="s">
        <v>2332</v>
      </c>
      <c r="CU165" s="584" t="s">
        <v>1892</v>
      </c>
      <c r="CV165" s="585" t="s">
        <v>1893</v>
      </c>
    </row>
    <row r="166" spans="91:100" x14ac:dyDescent="0.25">
      <c r="CM166" s="582"/>
      <c r="CN166" s="584" t="s">
        <v>2491</v>
      </c>
      <c r="CO166" s="584" t="s">
        <v>1887</v>
      </c>
      <c r="CP166" s="584" t="s">
        <v>2325</v>
      </c>
      <c r="CQ166" s="584" t="s">
        <v>2492</v>
      </c>
      <c r="CR166" s="584" t="s">
        <v>2492</v>
      </c>
      <c r="CS166" s="584" t="s">
        <v>1890</v>
      </c>
      <c r="CT166" s="584" t="s">
        <v>2332</v>
      </c>
      <c r="CU166" s="584" t="s">
        <v>1892</v>
      </c>
      <c r="CV166" s="585" t="s">
        <v>1893</v>
      </c>
    </row>
    <row r="167" spans="91:100" x14ac:dyDescent="0.25">
      <c r="CM167" s="582"/>
      <c r="CN167" s="584" t="s">
        <v>2493</v>
      </c>
      <c r="CO167" s="584" t="s">
        <v>1887</v>
      </c>
      <c r="CP167" s="584" t="s">
        <v>2325</v>
      </c>
      <c r="CQ167" s="584" t="s">
        <v>2494</v>
      </c>
      <c r="CR167" s="584" t="s">
        <v>2494</v>
      </c>
      <c r="CS167" s="584" t="s">
        <v>1978</v>
      </c>
      <c r="CT167" s="584" t="s">
        <v>2327</v>
      </c>
      <c r="CU167" s="584" t="s">
        <v>1892</v>
      </c>
      <c r="CV167" s="585" t="s">
        <v>1980</v>
      </c>
    </row>
    <row r="168" spans="91:100" x14ac:dyDescent="0.25">
      <c r="CM168" s="582"/>
      <c r="CN168" s="584" t="s">
        <v>2495</v>
      </c>
      <c r="CO168" s="584" t="s">
        <v>1887</v>
      </c>
      <c r="CP168" s="584" t="s">
        <v>2325</v>
      </c>
      <c r="CQ168" s="584" t="s">
        <v>2496</v>
      </c>
      <c r="CR168" s="584" t="s">
        <v>2497</v>
      </c>
      <c r="CS168" s="584" t="s">
        <v>1978</v>
      </c>
      <c r="CT168" s="584" t="s">
        <v>2327</v>
      </c>
      <c r="CU168" s="584" t="s">
        <v>1892</v>
      </c>
      <c r="CV168" s="585" t="s">
        <v>1980</v>
      </c>
    </row>
    <row r="169" spans="91:100" x14ac:dyDescent="0.25">
      <c r="CM169" s="582"/>
      <c r="CN169" s="584" t="s">
        <v>2498</v>
      </c>
      <c r="CO169" s="584" t="s">
        <v>1887</v>
      </c>
      <c r="CP169" s="584" t="s">
        <v>2325</v>
      </c>
      <c r="CQ169" s="584" t="s">
        <v>2499</v>
      </c>
      <c r="CR169" s="584" t="s">
        <v>2500</v>
      </c>
      <c r="CS169" s="584" t="s">
        <v>1978</v>
      </c>
      <c r="CT169" s="584" t="s">
        <v>2327</v>
      </c>
      <c r="CU169" s="584" t="s">
        <v>1892</v>
      </c>
      <c r="CV169" s="585" t="s">
        <v>1980</v>
      </c>
    </row>
    <row r="170" spans="91:100" x14ac:dyDescent="0.25">
      <c r="CM170" s="582"/>
      <c r="CN170" s="584" t="s">
        <v>2501</v>
      </c>
      <c r="CO170" s="584" t="s">
        <v>1887</v>
      </c>
      <c r="CP170" s="584" t="s">
        <v>2325</v>
      </c>
      <c r="CQ170" s="584" t="s">
        <v>2502</v>
      </c>
      <c r="CR170" s="584" t="s">
        <v>2503</v>
      </c>
      <c r="CS170" s="584" t="s">
        <v>1978</v>
      </c>
      <c r="CT170" s="584" t="s">
        <v>2327</v>
      </c>
      <c r="CU170" s="584" t="s">
        <v>1892</v>
      </c>
      <c r="CV170" s="585" t="s">
        <v>1980</v>
      </c>
    </row>
    <row r="171" spans="91:100" x14ac:dyDescent="0.25">
      <c r="CM171" s="582"/>
      <c r="CN171" s="584" t="s">
        <v>2504</v>
      </c>
      <c r="CO171" s="584" t="s">
        <v>1887</v>
      </c>
      <c r="CP171" s="584" t="s">
        <v>2325</v>
      </c>
      <c r="CQ171" s="584" t="s">
        <v>2505</v>
      </c>
      <c r="CR171" s="584" t="s">
        <v>2506</v>
      </c>
      <c r="CS171" s="584" t="s">
        <v>1978</v>
      </c>
      <c r="CT171" s="584" t="s">
        <v>2327</v>
      </c>
      <c r="CU171" s="584" t="s">
        <v>1892</v>
      </c>
      <c r="CV171" s="585" t="s">
        <v>1980</v>
      </c>
    </row>
    <row r="172" spans="91:100" x14ac:dyDescent="0.25">
      <c r="CM172" s="582"/>
      <c r="CN172" s="584" t="s">
        <v>2507</v>
      </c>
      <c r="CO172" s="584" t="s">
        <v>1887</v>
      </c>
      <c r="CP172" s="584" t="s">
        <v>2325</v>
      </c>
      <c r="CQ172" s="584" t="s">
        <v>2508</v>
      </c>
      <c r="CR172" s="584" t="s">
        <v>2509</v>
      </c>
      <c r="CS172" s="584" t="s">
        <v>1978</v>
      </c>
      <c r="CT172" s="584" t="s">
        <v>2327</v>
      </c>
      <c r="CU172" s="584" t="s">
        <v>1892</v>
      </c>
      <c r="CV172" s="585" t="s">
        <v>1980</v>
      </c>
    </row>
    <row r="173" spans="91:100" x14ac:dyDescent="0.25">
      <c r="CM173" s="582"/>
      <c r="CN173" s="584" t="s">
        <v>2510</v>
      </c>
      <c r="CO173" s="584" t="s">
        <v>1887</v>
      </c>
      <c r="CP173" s="584" t="s">
        <v>2325</v>
      </c>
      <c r="CQ173" s="584" t="s">
        <v>2511</v>
      </c>
      <c r="CR173" s="584" t="s">
        <v>2512</v>
      </c>
      <c r="CS173" s="584" t="s">
        <v>1978</v>
      </c>
      <c r="CT173" s="584" t="s">
        <v>2327</v>
      </c>
      <c r="CU173" s="584" t="s">
        <v>1892</v>
      </c>
      <c r="CV173" s="585" t="s">
        <v>1980</v>
      </c>
    </row>
    <row r="174" spans="91:100" x14ac:dyDescent="0.25">
      <c r="CM174" s="582"/>
      <c r="CN174" s="584" t="s">
        <v>2513</v>
      </c>
      <c r="CO174" s="584" t="s">
        <v>1887</v>
      </c>
      <c r="CP174" s="584" t="s">
        <v>2325</v>
      </c>
      <c r="CQ174" s="584" t="s">
        <v>2514</v>
      </c>
      <c r="CR174" s="584" t="s">
        <v>2515</v>
      </c>
      <c r="CS174" s="584" t="s">
        <v>1978</v>
      </c>
      <c r="CT174" s="584" t="s">
        <v>2327</v>
      </c>
      <c r="CU174" s="584" t="s">
        <v>1892</v>
      </c>
      <c r="CV174" s="585" t="s">
        <v>1980</v>
      </c>
    </row>
    <row r="175" spans="91:100" x14ac:dyDescent="0.25">
      <c r="CM175" s="582"/>
      <c r="CN175" s="584" t="s">
        <v>2516</v>
      </c>
      <c r="CO175" s="584" t="s">
        <v>1887</v>
      </c>
      <c r="CP175" s="584" t="s">
        <v>2325</v>
      </c>
      <c r="CQ175" s="584" t="s">
        <v>2517</v>
      </c>
      <c r="CR175" s="584" t="s">
        <v>2517</v>
      </c>
      <c r="CS175" s="584" t="s">
        <v>1890</v>
      </c>
      <c r="CT175" s="584" t="s">
        <v>2332</v>
      </c>
      <c r="CU175" s="584" t="s">
        <v>1892</v>
      </c>
      <c r="CV175" s="585" t="s">
        <v>1893</v>
      </c>
    </row>
    <row r="176" spans="91:100" x14ac:dyDescent="0.25">
      <c r="CM176" s="582"/>
      <c r="CN176" s="584" t="s">
        <v>2518</v>
      </c>
      <c r="CO176" s="584" t="s">
        <v>1887</v>
      </c>
      <c r="CP176" s="584" t="s">
        <v>2325</v>
      </c>
      <c r="CQ176" s="584" t="s">
        <v>2519</v>
      </c>
      <c r="CR176" s="584" t="s">
        <v>2519</v>
      </c>
      <c r="CS176" s="584" t="s">
        <v>1978</v>
      </c>
      <c r="CT176" s="584" t="s">
        <v>2327</v>
      </c>
      <c r="CU176" s="584" t="s">
        <v>1892</v>
      </c>
      <c r="CV176" s="585" t="s">
        <v>1980</v>
      </c>
    </row>
    <row r="177" spans="91:100" x14ac:dyDescent="0.25">
      <c r="CM177" s="582"/>
      <c r="CN177" s="584" t="s">
        <v>2520</v>
      </c>
      <c r="CO177" s="584" t="s">
        <v>1887</v>
      </c>
      <c r="CP177" s="584" t="s">
        <v>2325</v>
      </c>
      <c r="CQ177" s="584" t="s">
        <v>2521</v>
      </c>
      <c r="CR177" s="584" t="s">
        <v>2521</v>
      </c>
      <c r="CS177" s="584" t="s">
        <v>1978</v>
      </c>
      <c r="CT177" s="584" t="s">
        <v>2327</v>
      </c>
      <c r="CU177" s="584" t="s">
        <v>1892</v>
      </c>
      <c r="CV177" s="585" t="s">
        <v>1980</v>
      </c>
    </row>
    <row r="178" spans="91:100" x14ac:dyDescent="0.25">
      <c r="CM178" s="582"/>
      <c r="CN178" s="584" t="s">
        <v>2522</v>
      </c>
      <c r="CO178" s="584" t="s">
        <v>1887</v>
      </c>
      <c r="CP178" s="584" t="s">
        <v>2325</v>
      </c>
      <c r="CQ178" s="584" t="s">
        <v>2523</v>
      </c>
      <c r="CR178" s="584" t="s">
        <v>2524</v>
      </c>
      <c r="CS178" s="584" t="s">
        <v>1890</v>
      </c>
      <c r="CT178" s="584" t="s">
        <v>2332</v>
      </c>
      <c r="CU178" s="584" t="s">
        <v>1892</v>
      </c>
      <c r="CV178" s="585" t="s">
        <v>1893</v>
      </c>
    </row>
    <row r="179" spans="91:100" x14ac:dyDescent="0.25">
      <c r="CM179" s="582"/>
      <c r="CN179" s="584" t="s">
        <v>2525</v>
      </c>
      <c r="CO179" s="584" t="s">
        <v>1887</v>
      </c>
      <c r="CP179" s="584" t="s">
        <v>2325</v>
      </c>
      <c r="CQ179" s="584" t="s">
        <v>2526</v>
      </c>
      <c r="CR179" s="584" t="s">
        <v>2526</v>
      </c>
      <c r="CS179" s="584" t="s">
        <v>1890</v>
      </c>
      <c r="CT179" s="584" t="s">
        <v>2332</v>
      </c>
      <c r="CU179" s="584" t="s">
        <v>1892</v>
      </c>
      <c r="CV179" s="585" t="s">
        <v>1893</v>
      </c>
    </row>
    <row r="180" spans="91:100" x14ac:dyDescent="0.25">
      <c r="CM180" s="582"/>
      <c r="CN180" s="584" t="s">
        <v>2527</v>
      </c>
      <c r="CO180" s="584" t="s">
        <v>1887</v>
      </c>
      <c r="CP180" s="584" t="s">
        <v>2325</v>
      </c>
      <c r="CQ180" s="584" t="s">
        <v>1106</v>
      </c>
      <c r="CR180" s="584" t="s">
        <v>1106</v>
      </c>
      <c r="CS180" s="584" t="s">
        <v>1890</v>
      </c>
      <c r="CT180" s="584" t="s">
        <v>2332</v>
      </c>
      <c r="CU180" s="584" t="s">
        <v>1892</v>
      </c>
      <c r="CV180" s="585" t="s">
        <v>1893</v>
      </c>
    </row>
    <row r="181" spans="91:100" x14ac:dyDescent="0.25">
      <c r="CM181" s="582"/>
      <c r="CN181" s="584" t="s">
        <v>2528</v>
      </c>
      <c r="CO181" s="584" t="s">
        <v>1887</v>
      </c>
      <c r="CP181" s="584" t="s">
        <v>2325</v>
      </c>
      <c r="CQ181" s="584" t="s">
        <v>2529</v>
      </c>
      <c r="CR181" s="584" t="s">
        <v>2529</v>
      </c>
      <c r="CS181" s="584" t="s">
        <v>1890</v>
      </c>
      <c r="CT181" s="584" t="s">
        <v>2332</v>
      </c>
      <c r="CU181" s="584" t="s">
        <v>1892</v>
      </c>
      <c r="CV181" s="585" t="s">
        <v>1893</v>
      </c>
    </row>
    <row r="182" spans="91:100" x14ac:dyDescent="0.25">
      <c r="CM182" s="582"/>
      <c r="CN182" s="584" t="s">
        <v>2530</v>
      </c>
      <c r="CO182" s="584" t="s">
        <v>1887</v>
      </c>
      <c r="CP182" s="584" t="s">
        <v>2325</v>
      </c>
      <c r="CQ182" s="584" t="s">
        <v>2531</v>
      </c>
      <c r="CR182" s="584" t="s">
        <v>2531</v>
      </c>
      <c r="CS182" s="584" t="s">
        <v>1890</v>
      </c>
      <c r="CT182" s="584" t="s">
        <v>2332</v>
      </c>
      <c r="CU182" s="584" t="s">
        <v>1892</v>
      </c>
      <c r="CV182" s="585" t="s">
        <v>1893</v>
      </c>
    </row>
    <row r="183" spans="91:100" x14ac:dyDescent="0.25">
      <c r="CM183" s="582"/>
      <c r="CN183" s="584" t="s">
        <v>2532</v>
      </c>
      <c r="CO183" s="584" t="s">
        <v>1887</v>
      </c>
      <c r="CP183" s="584" t="s">
        <v>2325</v>
      </c>
      <c r="CQ183" s="584" t="s">
        <v>2533</v>
      </c>
      <c r="CR183" s="584" t="s">
        <v>2533</v>
      </c>
      <c r="CS183" s="584" t="s">
        <v>1890</v>
      </c>
      <c r="CT183" s="584" t="s">
        <v>2332</v>
      </c>
      <c r="CU183" s="584" t="s">
        <v>1892</v>
      </c>
      <c r="CV183" s="585" t="s">
        <v>1893</v>
      </c>
    </row>
    <row r="184" spans="91:100" x14ac:dyDescent="0.25">
      <c r="CM184" s="582"/>
      <c r="CN184" s="584" t="s">
        <v>2534</v>
      </c>
      <c r="CO184" s="584" t="s">
        <v>1887</v>
      </c>
      <c r="CP184" s="584" t="s">
        <v>2535</v>
      </c>
      <c r="CQ184" s="584" t="s">
        <v>2536</v>
      </c>
      <c r="CR184" s="584" t="s">
        <v>2536</v>
      </c>
      <c r="CS184" s="584" t="s">
        <v>1890</v>
      </c>
      <c r="CT184" s="584" t="s">
        <v>2537</v>
      </c>
      <c r="CU184" s="584" t="s">
        <v>1892</v>
      </c>
      <c r="CV184" s="585" t="s">
        <v>1893</v>
      </c>
    </row>
    <row r="185" spans="91:100" x14ac:dyDescent="0.25">
      <c r="CM185" s="582"/>
      <c r="CN185" s="584" t="s">
        <v>2538</v>
      </c>
      <c r="CO185" s="584" t="s">
        <v>1887</v>
      </c>
      <c r="CP185" s="584" t="s">
        <v>2535</v>
      </c>
      <c r="CQ185" s="584" t="s">
        <v>2539</v>
      </c>
      <c r="CR185" s="584" t="s">
        <v>2539</v>
      </c>
      <c r="CS185" s="584" t="s">
        <v>1890</v>
      </c>
      <c r="CT185" s="584" t="s">
        <v>2537</v>
      </c>
      <c r="CU185" s="584" t="s">
        <v>1892</v>
      </c>
      <c r="CV185" s="585" t="s">
        <v>1893</v>
      </c>
    </row>
    <row r="186" spans="91:100" x14ac:dyDescent="0.25">
      <c r="CM186" s="582"/>
      <c r="CN186" s="584" t="s">
        <v>2540</v>
      </c>
      <c r="CO186" s="584" t="s">
        <v>1887</v>
      </c>
      <c r="CP186" s="584" t="s">
        <v>2535</v>
      </c>
      <c r="CQ186" s="584" t="s">
        <v>2541</v>
      </c>
      <c r="CR186" s="584" t="s">
        <v>2541</v>
      </c>
      <c r="CS186" s="584" t="s">
        <v>1978</v>
      </c>
      <c r="CT186" s="584" t="s">
        <v>2542</v>
      </c>
      <c r="CU186" s="584" t="s">
        <v>1892</v>
      </c>
      <c r="CV186" s="585" t="s">
        <v>1980</v>
      </c>
    </row>
    <row r="187" spans="91:100" x14ac:dyDescent="0.25">
      <c r="CM187" s="582"/>
      <c r="CN187" s="584" t="s">
        <v>2543</v>
      </c>
      <c r="CO187" s="584" t="s">
        <v>1887</v>
      </c>
      <c r="CP187" s="584" t="s">
        <v>2535</v>
      </c>
      <c r="CQ187" s="584" t="s">
        <v>2544</v>
      </c>
      <c r="CR187" s="584" t="s">
        <v>2544</v>
      </c>
      <c r="CS187" s="584" t="s">
        <v>1978</v>
      </c>
      <c r="CT187" s="584" t="s">
        <v>2542</v>
      </c>
      <c r="CU187" s="584" t="s">
        <v>1892</v>
      </c>
      <c r="CV187" s="585" t="s">
        <v>1980</v>
      </c>
    </row>
    <row r="188" spans="91:100" x14ac:dyDescent="0.25">
      <c r="CM188" s="582"/>
      <c r="CN188" s="584" t="s">
        <v>2545</v>
      </c>
      <c r="CO188" s="584" t="s">
        <v>1887</v>
      </c>
      <c r="CP188" s="584" t="s">
        <v>2535</v>
      </c>
      <c r="CQ188" s="584" t="s">
        <v>2546</v>
      </c>
      <c r="CR188" s="584" t="s">
        <v>2546</v>
      </c>
      <c r="CS188" s="584" t="s">
        <v>1890</v>
      </c>
      <c r="CT188" s="584" t="s">
        <v>2537</v>
      </c>
      <c r="CU188" s="584" t="s">
        <v>1892</v>
      </c>
      <c r="CV188" s="585" t="s">
        <v>1893</v>
      </c>
    </row>
    <row r="189" spans="91:100" x14ac:dyDescent="0.25">
      <c r="CM189" s="582"/>
      <c r="CN189" s="584" t="s">
        <v>2547</v>
      </c>
      <c r="CO189" s="584" t="s">
        <v>1887</v>
      </c>
      <c r="CP189" s="584" t="s">
        <v>2535</v>
      </c>
      <c r="CQ189" s="584" t="s">
        <v>2548</v>
      </c>
      <c r="CR189" s="584" t="s">
        <v>2548</v>
      </c>
      <c r="CS189" s="584" t="s">
        <v>1890</v>
      </c>
      <c r="CT189" s="584" t="s">
        <v>2537</v>
      </c>
      <c r="CU189" s="584" t="s">
        <v>1892</v>
      </c>
      <c r="CV189" s="585" t="s">
        <v>1893</v>
      </c>
    </row>
    <row r="190" spans="91:100" x14ac:dyDescent="0.25">
      <c r="CM190" s="582"/>
      <c r="CN190" s="584" t="s">
        <v>2549</v>
      </c>
      <c r="CO190" s="584" t="s">
        <v>1887</v>
      </c>
      <c r="CP190" s="584" t="s">
        <v>2535</v>
      </c>
      <c r="CQ190" s="584" t="s">
        <v>2550</v>
      </c>
      <c r="CR190" s="584" t="s">
        <v>2550</v>
      </c>
      <c r="CS190" s="584" t="s">
        <v>1890</v>
      </c>
      <c r="CT190" s="584" t="s">
        <v>2537</v>
      </c>
      <c r="CU190" s="584" t="s">
        <v>1892</v>
      </c>
      <c r="CV190" s="585" t="s">
        <v>1893</v>
      </c>
    </row>
    <row r="191" spans="91:100" x14ac:dyDescent="0.25">
      <c r="CM191" s="582"/>
      <c r="CN191" s="584" t="s">
        <v>2551</v>
      </c>
      <c r="CO191" s="584" t="s">
        <v>1887</v>
      </c>
      <c r="CP191" s="584" t="s">
        <v>2535</v>
      </c>
      <c r="CQ191" s="584" t="s">
        <v>2552</v>
      </c>
      <c r="CR191" s="584" t="s">
        <v>2552</v>
      </c>
      <c r="CS191" s="584" t="s">
        <v>1890</v>
      </c>
      <c r="CT191" s="584" t="s">
        <v>2537</v>
      </c>
      <c r="CU191" s="584" t="s">
        <v>1892</v>
      </c>
      <c r="CV191" s="585" t="s">
        <v>1893</v>
      </c>
    </row>
    <row r="192" spans="91:100" x14ac:dyDescent="0.25">
      <c r="CM192" s="582"/>
      <c r="CN192" s="584" t="s">
        <v>2553</v>
      </c>
      <c r="CO192" s="584" t="s">
        <v>1887</v>
      </c>
      <c r="CP192" s="584" t="s">
        <v>2535</v>
      </c>
      <c r="CQ192" s="584" t="s">
        <v>2554</v>
      </c>
      <c r="CR192" s="584" t="s">
        <v>2554</v>
      </c>
      <c r="CS192" s="584" t="s">
        <v>1890</v>
      </c>
      <c r="CT192" s="584" t="s">
        <v>2537</v>
      </c>
      <c r="CU192" s="584" t="s">
        <v>1892</v>
      </c>
      <c r="CV192" s="585" t="s">
        <v>1893</v>
      </c>
    </row>
    <row r="193" spans="91:100" x14ac:dyDescent="0.25">
      <c r="CM193" s="582"/>
      <c r="CN193" s="584" t="s">
        <v>2555</v>
      </c>
      <c r="CO193" s="584" t="s">
        <v>1887</v>
      </c>
      <c r="CP193" s="584" t="s">
        <v>2535</v>
      </c>
      <c r="CQ193" s="584" t="s">
        <v>2556</v>
      </c>
      <c r="CR193" s="584" t="s">
        <v>2556</v>
      </c>
      <c r="CS193" s="584" t="s">
        <v>1890</v>
      </c>
      <c r="CT193" s="584" t="s">
        <v>2537</v>
      </c>
      <c r="CU193" s="584" t="s">
        <v>1892</v>
      </c>
      <c r="CV193" s="585" t="s">
        <v>1893</v>
      </c>
    </row>
    <row r="194" spans="91:100" x14ac:dyDescent="0.25">
      <c r="CM194" s="582"/>
      <c r="CN194" s="584" t="s">
        <v>2557</v>
      </c>
      <c r="CO194" s="584" t="s">
        <v>1887</v>
      </c>
      <c r="CP194" s="584" t="s">
        <v>2535</v>
      </c>
      <c r="CQ194" s="584" t="s">
        <v>2558</v>
      </c>
      <c r="CR194" s="584" t="s">
        <v>2558</v>
      </c>
      <c r="CS194" s="584" t="s">
        <v>1890</v>
      </c>
      <c r="CT194" s="584" t="s">
        <v>2537</v>
      </c>
      <c r="CU194" s="584" t="s">
        <v>1892</v>
      </c>
      <c r="CV194" s="585" t="s">
        <v>1893</v>
      </c>
    </row>
    <row r="195" spans="91:100" x14ac:dyDescent="0.25">
      <c r="CM195" s="582"/>
      <c r="CN195" s="584" t="s">
        <v>2559</v>
      </c>
      <c r="CO195" s="584" t="s">
        <v>1887</v>
      </c>
      <c r="CP195" s="584" t="s">
        <v>2535</v>
      </c>
      <c r="CQ195" s="584" t="s">
        <v>2560</v>
      </c>
      <c r="CR195" s="584" t="s">
        <v>2561</v>
      </c>
      <c r="CS195" s="584" t="s">
        <v>1978</v>
      </c>
      <c r="CT195" s="584" t="s">
        <v>2542</v>
      </c>
      <c r="CU195" s="584" t="s">
        <v>1892</v>
      </c>
      <c r="CV195" s="585" t="s">
        <v>1980</v>
      </c>
    </row>
    <row r="196" spans="91:100" x14ac:dyDescent="0.25">
      <c r="CM196" s="582"/>
      <c r="CN196" s="584" t="s">
        <v>2562</v>
      </c>
      <c r="CO196" s="584" t="s">
        <v>1887</v>
      </c>
      <c r="CP196" s="584" t="s">
        <v>2535</v>
      </c>
      <c r="CQ196" s="584" t="s">
        <v>2563</v>
      </c>
      <c r="CR196" s="584" t="s">
        <v>2563</v>
      </c>
      <c r="CS196" s="584" t="s">
        <v>1890</v>
      </c>
      <c r="CT196" s="584" t="s">
        <v>2537</v>
      </c>
      <c r="CU196" s="584" t="s">
        <v>1892</v>
      </c>
      <c r="CV196" s="585" t="s">
        <v>1893</v>
      </c>
    </row>
    <row r="197" spans="91:100" x14ac:dyDescent="0.25">
      <c r="CM197" s="582"/>
      <c r="CN197" s="584" t="s">
        <v>2564</v>
      </c>
      <c r="CO197" s="584" t="s">
        <v>1887</v>
      </c>
      <c r="CP197" s="584" t="s">
        <v>2535</v>
      </c>
      <c r="CQ197" s="584" t="s">
        <v>2565</v>
      </c>
      <c r="CR197" s="584" t="s">
        <v>2565</v>
      </c>
      <c r="CS197" s="584" t="s">
        <v>1890</v>
      </c>
      <c r="CT197" s="584" t="s">
        <v>2537</v>
      </c>
      <c r="CU197" s="584" t="s">
        <v>1892</v>
      </c>
      <c r="CV197" s="585" t="s">
        <v>1893</v>
      </c>
    </row>
    <row r="198" spans="91:100" x14ac:dyDescent="0.25">
      <c r="CM198" s="582"/>
      <c r="CN198" s="584" t="s">
        <v>2566</v>
      </c>
      <c r="CO198" s="584" t="s">
        <v>1887</v>
      </c>
      <c r="CP198" s="584" t="s">
        <v>2535</v>
      </c>
      <c r="CQ198" s="584" t="s">
        <v>1096</v>
      </c>
      <c r="CR198" s="584" t="s">
        <v>1096</v>
      </c>
      <c r="CS198" s="584" t="s">
        <v>1890</v>
      </c>
      <c r="CT198" s="584" t="s">
        <v>2537</v>
      </c>
      <c r="CU198" s="584" t="s">
        <v>1892</v>
      </c>
      <c r="CV198" s="585" t="s">
        <v>1893</v>
      </c>
    </row>
    <row r="199" spans="91:100" x14ac:dyDescent="0.25">
      <c r="CM199" s="582"/>
      <c r="CN199" s="584" t="s">
        <v>2567</v>
      </c>
      <c r="CO199" s="584" t="s">
        <v>1887</v>
      </c>
      <c r="CP199" s="584" t="s">
        <v>2535</v>
      </c>
      <c r="CQ199" s="584" t="s">
        <v>2568</v>
      </c>
      <c r="CR199" s="584" t="s">
        <v>2568</v>
      </c>
      <c r="CS199" s="584" t="s">
        <v>1890</v>
      </c>
      <c r="CT199" s="584" t="s">
        <v>2537</v>
      </c>
      <c r="CU199" s="584" t="s">
        <v>1892</v>
      </c>
      <c r="CV199" s="585" t="s">
        <v>1893</v>
      </c>
    </row>
    <row r="200" spans="91:100" x14ac:dyDescent="0.25">
      <c r="CM200" s="582"/>
      <c r="CN200" s="584" t="s">
        <v>2569</v>
      </c>
      <c r="CO200" s="584" t="s">
        <v>1887</v>
      </c>
      <c r="CP200" s="584" t="s">
        <v>2535</v>
      </c>
      <c r="CQ200" s="584" t="s">
        <v>2570</v>
      </c>
      <c r="CR200" s="584" t="s">
        <v>2570</v>
      </c>
      <c r="CS200" s="584" t="s">
        <v>1890</v>
      </c>
      <c r="CT200" s="584" t="s">
        <v>2537</v>
      </c>
      <c r="CU200" s="584" t="s">
        <v>1892</v>
      </c>
      <c r="CV200" s="585" t="s">
        <v>1893</v>
      </c>
    </row>
    <row r="201" spans="91:100" x14ac:dyDescent="0.25">
      <c r="CM201" s="582"/>
      <c r="CN201" s="584" t="s">
        <v>2571</v>
      </c>
      <c r="CO201" s="584" t="s">
        <v>1887</v>
      </c>
      <c r="CP201" s="584" t="s">
        <v>2535</v>
      </c>
      <c r="CQ201" s="584" t="s">
        <v>2572</v>
      </c>
      <c r="CR201" s="584" t="s">
        <v>2572</v>
      </c>
      <c r="CS201" s="584" t="s">
        <v>1890</v>
      </c>
      <c r="CT201" s="584" t="s">
        <v>2537</v>
      </c>
      <c r="CU201" s="584" t="s">
        <v>1892</v>
      </c>
      <c r="CV201" s="585" t="s">
        <v>1893</v>
      </c>
    </row>
    <row r="202" spans="91:100" x14ac:dyDescent="0.25">
      <c r="CM202" s="582"/>
      <c r="CN202" s="584" t="s">
        <v>2573</v>
      </c>
      <c r="CO202" s="584" t="s">
        <v>1887</v>
      </c>
      <c r="CP202" s="584" t="s">
        <v>2535</v>
      </c>
      <c r="CQ202" s="584" t="s">
        <v>2574</v>
      </c>
      <c r="CR202" s="584" t="s">
        <v>2574</v>
      </c>
      <c r="CS202" s="584" t="s">
        <v>1890</v>
      </c>
      <c r="CT202" s="584" t="s">
        <v>2537</v>
      </c>
      <c r="CU202" s="584" t="s">
        <v>1892</v>
      </c>
      <c r="CV202" s="585" t="s">
        <v>1893</v>
      </c>
    </row>
    <row r="203" spans="91:100" x14ac:dyDescent="0.25">
      <c r="CM203" s="582"/>
      <c r="CN203" s="584" t="s">
        <v>2575</v>
      </c>
      <c r="CO203" s="584" t="s">
        <v>1887</v>
      </c>
      <c r="CP203" s="584" t="s">
        <v>2535</v>
      </c>
      <c r="CQ203" s="584" t="s">
        <v>2576</v>
      </c>
      <c r="CR203" s="584" t="s">
        <v>2576</v>
      </c>
      <c r="CS203" s="584" t="s">
        <v>1890</v>
      </c>
      <c r="CT203" s="584" t="s">
        <v>2537</v>
      </c>
      <c r="CU203" s="584" t="s">
        <v>1892</v>
      </c>
      <c r="CV203" s="585" t="s">
        <v>1893</v>
      </c>
    </row>
    <row r="204" spans="91:100" x14ac:dyDescent="0.25">
      <c r="CM204" s="582"/>
      <c r="CN204" s="584" t="s">
        <v>2577</v>
      </c>
      <c r="CO204" s="584" t="s">
        <v>1887</v>
      </c>
      <c r="CP204" s="584" t="s">
        <v>2535</v>
      </c>
      <c r="CQ204" s="584" t="s">
        <v>2578</v>
      </c>
      <c r="CR204" s="584" t="s">
        <v>2578</v>
      </c>
      <c r="CS204" s="584" t="s">
        <v>1890</v>
      </c>
      <c r="CT204" s="584" t="s">
        <v>2537</v>
      </c>
      <c r="CU204" s="584" t="s">
        <v>1892</v>
      </c>
      <c r="CV204" s="585" t="s">
        <v>1893</v>
      </c>
    </row>
    <row r="205" spans="91:100" x14ac:dyDescent="0.25">
      <c r="CM205" s="582"/>
      <c r="CN205" s="584" t="s">
        <v>2579</v>
      </c>
      <c r="CO205" s="584" t="s">
        <v>1887</v>
      </c>
      <c r="CP205" s="584" t="s">
        <v>2535</v>
      </c>
      <c r="CQ205" s="584" t="s">
        <v>2580</v>
      </c>
      <c r="CR205" s="584" t="s">
        <v>2580</v>
      </c>
      <c r="CS205" s="584" t="s">
        <v>1890</v>
      </c>
      <c r="CT205" s="584" t="s">
        <v>2537</v>
      </c>
      <c r="CU205" s="584" t="s">
        <v>1892</v>
      </c>
      <c r="CV205" s="585" t="s">
        <v>1893</v>
      </c>
    </row>
    <row r="206" spans="91:100" ht="25.5" x14ac:dyDescent="0.25">
      <c r="CM206" s="582"/>
      <c r="CN206" s="584" t="s">
        <v>2581</v>
      </c>
      <c r="CO206" s="584" t="s">
        <v>1908</v>
      </c>
      <c r="CP206" s="584" t="s">
        <v>1888</v>
      </c>
      <c r="CQ206" s="584" t="s">
        <v>2582</v>
      </c>
      <c r="CR206" s="584" t="s">
        <v>2582</v>
      </c>
      <c r="CS206" s="584" t="s">
        <v>2583</v>
      </c>
      <c r="CT206" s="584" t="s">
        <v>2584</v>
      </c>
      <c r="CU206" s="584" t="s">
        <v>2585</v>
      </c>
      <c r="CV206" s="585" t="s">
        <v>2586</v>
      </c>
    </row>
    <row r="207" spans="91:100" x14ac:dyDescent="0.25">
      <c r="CM207" s="582"/>
      <c r="CN207" s="584" t="s">
        <v>2587</v>
      </c>
      <c r="CO207" s="584" t="s">
        <v>1908</v>
      </c>
      <c r="CP207" s="584" t="s">
        <v>1888</v>
      </c>
      <c r="CQ207" s="584" t="s">
        <v>2588</v>
      </c>
      <c r="CR207" s="584" t="s">
        <v>2589</v>
      </c>
      <c r="CS207" s="584" t="s">
        <v>2583</v>
      </c>
      <c r="CT207" s="584" t="s">
        <v>2590</v>
      </c>
      <c r="CU207" s="584" t="s">
        <v>1892</v>
      </c>
      <c r="CV207" s="585" t="s">
        <v>1893</v>
      </c>
    </row>
    <row r="208" spans="91:100" x14ac:dyDescent="0.25">
      <c r="CM208" s="582"/>
      <c r="CN208" s="584" t="s">
        <v>2591</v>
      </c>
      <c r="CO208" s="584" t="s">
        <v>1908</v>
      </c>
      <c r="CP208" s="584" t="s">
        <v>1888</v>
      </c>
      <c r="CQ208" s="584" t="s">
        <v>2592</v>
      </c>
      <c r="CR208" s="584" t="s">
        <v>2593</v>
      </c>
      <c r="CS208" s="584" t="s">
        <v>2583</v>
      </c>
      <c r="CT208" s="584" t="s">
        <v>2590</v>
      </c>
      <c r="CU208" s="584" t="s">
        <v>1892</v>
      </c>
      <c r="CV208" s="585" t="s">
        <v>1893</v>
      </c>
    </row>
    <row r="209" spans="91:100" x14ac:dyDescent="0.25">
      <c r="CM209" s="582"/>
      <c r="CN209" s="584" t="s">
        <v>2594</v>
      </c>
      <c r="CO209" s="584" t="s">
        <v>1908</v>
      </c>
      <c r="CP209" s="584" t="s">
        <v>1888</v>
      </c>
      <c r="CQ209" s="584" t="s">
        <v>2595</v>
      </c>
      <c r="CR209" s="584" t="s">
        <v>2595</v>
      </c>
      <c r="CS209" s="584" t="s">
        <v>2583</v>
      </c>
      <c r="CT209" s="584" t="s">
        <v>2590</v>
      </c>
      <c r="CU209" s="584" t="s">
        <v>1892</v>
      </c>
      <c r="CV209" s="585" t="s">
        <v>1893</v>
      </c>
    </row>
    <row r="210" spans="91:100" ht="25.5" x14ac:dyDescent="0.25">
      <c r="CM210" s="582"/>
      <c r="CN210" s="584" t="s">
        <v>2596</v>
      </c>
      <c r="CO210" s="584" t="s">
        <v>1908</v>
      </c>
      <c r="CP210" s="584" t="s">
        <v>1888</v>
      </c>
      <c r="CQ210" s="584" t="s">
        <v>2597</v>
      </c>
      <c r="CR210" s="584" t="s">
        <v>2597</v>
      </c>
      <c r="CS210" s="584" t="s">
        <v>2583</v>
      </c>
      <c r="CT210" s="584" t="s">
        <v>2584</v>
      </c>
      <c r="CU210" s="584" t="s">
        <v>2585</v>
      </c>
      <c r="CV210" s="585" t="s">
        <v>2586</v>
      </c>
    </row>
    <row r="211" spans="91:100" ht="25.5" x14ac:dyDescent="0.25">
      <c r="CM211" s="582"/>
      <c r="CN211" s="584" t="s">
        <v>2598</v>
      </c>
      <c r="CO211" s="584" t="s">
        <v>1908</v>
      </c>
      <c r="CP211" s="584" t="s">
        <v>1888</v>
      </c>
      <c r="CQ211" s="584" t="s">
        <v>2599</v>
      </c>
      <c r="CR211" s="584" t="s">
        <v>2599</v>
      </c>
      <c r="CS211" s="584" t="s">
        <v>2583</v>
      </c>
      <c r="CT211" s="584" t="s">
        <v>2584</v>
      </c>
      <c r="CU211" s="584" t="s">
        <v>2585</v>
      </c>
      <c r="CV211" s="585" t="s">
        <v>2586</v>
      </c>
    </row>
    <row r="212" spans="91:100" ht="25.5" x14ac:dyDescent="0.25">
      <c r="CM212" s="582"/>
      <c r="CN212" s="584" t="s">
        <v>2600</v>
      </c>
      <c r="CO212" s="584" t="s">
        <v>1908</v>
      </c>
      <c r="CP212" s="584" t="s">
        <v>1888</v>
      </c>
      <c r="CQ212" s="584" t="s">
        <v>2601</v>
      </c>
      <c r="CR212" s="584" t="s">
        <v>2601</v>
      </c>
      <c r="CS212" s="584" t="s">
        <v>2583</v>
      </c>
      <c r="CT212" s="584" t="s">
        <v>2584</v>
      </c>
      <c r="CU212" s="584" t="s">
        <v>2585</v>
      </c>
      <c r="CV212" s="585" t="s">
        <v>2586</v>
      </c>
    </row>
    <row r="213" spans="91:100" ht="25.5" x14ac:dyDescent="0.25">
      <c r="CM213" s="582"/>
      <c r="CN213" s="584" t="s">
        <v>2602</v>
      </c>
      <c r="CO213" s="584" t="s">
        <v>1908</v>
      </c>
      <c r="CP213" s="584" t="s">
        <v>1888</v>
      </c>
      <c r="CQ213" s="584" t="s">
        <v>2603</v>
      </c>
      <c r="CR213" s="584" t="s">
        <v>2603</v>
      </c>
      <c r="CS213" s="584" t="s">
        <v>2583</v>
      </c>
      <c r="CT213" s="584" t="s">
        <v>2584</v>
      </c>
      <c r="CU213" s="584" t="s">
        <v>2585</v>
      </c>
      <c r="CV213" s="585" t="s">
        <v>2586</v>
      </c>
    </row>
    <row r="214" spans="91:100" ht="25.5" x14ac:dyDescent="0.25">
      <c r="CM214" s="582"/>
      <c r="CN214" s="584" t="s">
        <v>2604</v>
      </c>
      <c r="CO214" s="584" t="s">
        <v>1908</v>
      </c>
      <c r="CP214" s="584" t="s">
        <v>1888</v>
      </c>
      <c r="CQ214" s="584" t="s">
        <v>2605</v>
      </c>
      <c r="CR214" s="584" t="s">
        <v>2605</v>
      </c>
      <c r="CS214" s="584" t="s">
        <v>2583</v>
      </c>
      <c r="CT214" s="584" t="s">
        <v>2584</v>
      </c>
      <c r="CU214" s="584" t="s">
        <v>2585</v>
      </c>
      <c r="CV214" s="585" t="s">
        <v>2586</v>
      </c>
    </row>
    <row r="215" spans="91:100" x14ac:dyDescent="0.25">
      <c r="CM215" s="582"/>
      <c r="CN215" s="584" t="s">
        <v>2606</v>
      </c>
      <c r="CO215" s="584" t="s">
        <v>1908</v>
      </c>
      <c r="CP215" s="584" t="s">
        <v>1888</v>
      </c>
      <c r="CQ215" s="584" t="s">
        <v>2607</v>
      </c>
      <c r="CR215" s="584" t="s">
        <v>2607</v>
      </c>
      <c r="CS215" s="584" t="s">
        <v>2583</v>
      </c>
      <c r="CT215" s="584" t="s">
        <v>2590</v>
      </c>
      <c r="CU215" s="584" t="s">
        <v>1892</v>
      </c>
      <c r="CV215" s="585" t="s">
        <v>1893</v>
      </c>
    </row>
    <row r="216" spans="91:100" ht="25.5" x14ac:dyDescent="0.25">
      <c r="CM216" s="582"/>
      <c r="CN216" s="584" t="s">
        <v>2608</v>
      </c>
      <c r="CO216" s="584" t="s">
        <v>1908</v>
      </c>
      <c r="CP216" s="584" t="s">
        <v>1888</v>
      </c>
      <c r="CQ216" s="584" t="s">
        <v>2609</v>
      </c>
      <c r="CR216" s="584" t="s">
        <v>2609</v>
      </c>
      <c r="CS216" s="584" t="s">
        <v>2583</v>
      </c>
      <c r="CT216" s="584" t="s">
        <v>2584</v>
      </c>
      <c r="CU216" s="584" t="s">
        <v>2585</v>
      </c>
      <c r="CV216" s="585" t="s">
        <v>2586</v>
      </c>
    </row>
    <row r="217" spans="91:100" ht="25.5" x14ac:dyDescent="0.25">
      <c r="CM217" s="582"/>
      <c r="CN217" s="584" t="s">
        <v>2610</v>
      </c>
      <c r="CO217" s="584" t="s">
        <v>1908</v>
      </c>
      <c r="CP217" s="584" t="s">
        <v>1888</v>
      </c>
      <c r="CQ217" s="584" t="s">
        <v>2611</v>
      </c>
      <c r="CR217" s="584" t="s">
        <v>2611</v>
      </c>
      <c r="CS217" s="584" t="s">
        <v>2583</v>
      </c>
      <c r="CT217" s="584" t="s">
        <v>2584</v>
      </c>
      <c r="CU217" s="584" t="s">
        <v>2585</v>
      </c>
      <c r="CV217" s="585" t="s">
        <v>2586</v>
      </c>
    </row>
    <row r="218" spans="91:100" ht="25.5" x14ac:dyDescent="0.25">
      <c r="CM218" s="582"/>
      <c r="CN218" s="584" t="s">
        <v>2612</v>
      </c>
      <c r="CO218" s="584" t="s">
        <v>1908</v>
      </c>
      <c r="CP218" s="584" t="s">
        <v>1888</v>
      </c>
      <c r="CQ218" s="584" t="s">
        <v>2613</v>
      </c>
      <c r="CR218" s="584" t="s">
        <v>2613</v>
      </c>
      <c r="CS218" s="584" t="s">
        <v>2583</v>
      </c>
      <c r="CT218" s="584" t="s">
        <v>2584</v>
      </c>
      <c r="CU218" s="584" t="s">
        <v>2585</v>
      </c>
      <c r="CV218" s="585" t="s">
        <v>2586</v>
      </c>
    </row>
    <row r="219" spans="91:100" ht="25.5" x14ac:dyDescent="0.25">
      <c r="CM219" s="582"/>
      <c r="CN219" s="584" t="s">
        <v>2614</v>
      </c>
      <c r="CO219" s="584" t="s">
        <v>1908</v>
      </c>
      <c r="CP219" s="584" t="s">
        <v>1888</v>
      </c>
      <c r="CQ219" s="584" t="s">
        <v>2615</v>
      </c>
      <c r="CR219" s="584" t="s">
        <v>2615</v>
      </c>
      <c r="CS219" s="584" t="s">
        <v>2583</v>
      </c>
      <c r="CT219" s="584" t="s">
        <v>2584</v>
      </c>
      <c r="CU219" s="584" t="s">
        <v>2585</v>
      </c>
      <c r="CV219" s="585" t="s">
        <v>2586</v>
      </c>
    </row>
    <row r="220" spans="91:100" x14ac:dyDescent="0.25">
      <c r="CM220" s="582"/>
      <c r="CN220" s="584" t="s">
        <v>2616</v>
      </c>
      <c r="CO220" s="584" t="s">
        <v>1908</v>
      </c>
      <c r="CP220" s="584" t="s">
        <v>1888</v>
      </c>
      <c r="CQ220" s="584" t="s">
        <v>2617</v>
      </c>
      <c r="CR220" s="584" t="s">
        <v>2617</v>
      </c>
      <c r="CS220" s="584" t="s">
        <v>2583</v>
      </c>
      <c r="CT220" s="584" t="s">
        <v>2590</v>
      </c>
      <c r="CU220" s="584" t="s">
        <v>1892</v>
      </c>
      <c r="CV220" s="585" t="s">
        <v>1893</v>
      </c>
    </row>
    <row r="221" spans="91:100" x14ac:dyDescent="0.25">
      <c r="CM221" s="582"/>
      <c r="CN221" s="584" t="s">
        <v>2618</v>
      </c>
      <c r="CO221" s="584" t="s">
        <v>1908</v>
      </c>
      <c r="CP221" s="584" t="s">
        <v>1888</v>
      </c>
      <c r="CQ221" s="584" t="s">
        <v>2619</v>
      </c>
      <c r="CR221" s="584" t="s">
        <v>2619</v>
      </c>
      <c r="CS221" s="584" t="s">
        <v>1978</v>
      </c>
      <c r="CT221" s="584" t="s">
        <v>1979</v>
      </c>
      <c r="CU221" s="584" t="s">
        <v>1892</v>
      </c>
      <c r="CV221" s="585" t="s">
        <v>1980</v>
      </c>
    </row>
    <row r="222" spans="91:100" ht="25.5" x14ac:dyDescent="0.25">
      <c r="CM222" s="582"/>
      <c r="CN222" s="584" t="s">
        <v>2620</v>
      </c>
      <c r="CO222" s="584" t="s">
        <v>1908</v>
      </c>
      <c r="CP222" s="584" t="s">
        <v>1888</v>
      </c>
      <c r="CQ222" s="584" t="s">
        <v>2621</v>
      </c>
      <c r="CR222" s="584" t="s">
        <v>2621</v>
      </c>
      <c r="CS222" s="584" t="s">
        <v>2583</v>
      </c>
      <c r="CT222" s="584" t="s">
        <v>2584</v>
      </c>
      <c r="CU222" s="584" t="s">
        <v>2585</v>
      </c>
      <c r="CV222" s="585" t="s">
        <v>2586</v>
      </c>
    </row>
    <row r="223" spans="91:100" ht="25.5" x14ac:dyDescent="0.25">
      <c r="CM223" s="582"/>
      <c r="CN223" s="584" t="s">
        <v>2622</v>
      </c>
      <c r="CO223" s="584" t="s">
        <v>1908</v>
      </c>
      <c r="CP223" s="584" t="s">
        <v>1888</v>
      </c>
      <c r="CQ223" s="584" t="s">
        <v>2623</v>
      </c>
      <c r="CR223" s="584" t="s">
        <v>2623</v>
      </c>
      <c r="CS223" s="584" t="s">
        <v>2583</v>
      </c>
      <c r="CT223" s="584" t="s">
        <v>2584</v>
      </c>
      <c r="CU223" s="584" t="s">
        <v>2585</v>
      </c>
      <c r="CV223" s="585" t="s">
        <v>2586</v>
      </c>
    </row>
    <row r="224" spans="91:100" ht="25.5" x14ac:dyDescent="0.25">
      <c r="CM224" s="582"/>
      <c r="CN224" s="584" t="s">
        <v>2624</v>
      </c>
      <c r="CO224" s="584" t="s">
        <v>1908</v>
      </c>
      <c r="CP224" s="584" t="s">
        <v>1888</v>
      </c>
      <c r="CQ224" s="584" t="s">
        <v>2625</v>
      </c>
      <c r="CR224" s="584" t="s">
        <v>2625</v>
      </c>
      <c r="CS224" s="584" t="s">
        <v>2583</v>
      </c>
      <c r="CT224" s="584" t="s">
        <v>2584</v>
      </c>
      <c r="CU224" s="584" t="s">
        <v>2585</v>
      </c>
      <c r="CV224" s="585" t="s">
        <v>2586</v>
      </c>
    </row>
    <row r="225" spans="91:100" ht="25.5" x14ac:dyDescent="0.25">
      <c r="CM225" s="582"/>
      <c r="CN225" s="584" t="s">
        <v>2626</v>
      </c>
      <c r="CO225" s="584" t="s">
        <v>1908</v>
      </c>
      <c r="CP225" s="584" t="s">
        <v>1888</v>
      </c>
      <c r="CQ225" s="584" t="s">
        <v>2627</v>
      </c>
      <c r="CR225" s="584" t="s">
        <v>2627</v>
      </c>
      <c r="CS225" s="584" t="s">
        <v>2583</v>
      </c>
      <c r="CT225" s="584" t="s">
        <v>2584</v>
      </c>
      <c r="CU225" s="584" t="s">
        <v>2585</v>
      </c>
      <c r="CV225" s="585" t="s">
        <v>2586</v>
      </c>
    </row>
    <row r="226" spans="91:100" ht="25.5" x14ac:dyDescent="0.25">
      <c r="CM226" s="582"/>
      <c r="CN226" s="584" t="s">
        <v>2628</v>
      </c>
      <c r="CO226" s="584" t="s">
        <v>1908</v>
      </c>
      <c r="CP226" s="584" t="s">
        <v>1888</v>
      </c>
      <c r="CQ226" s="584" t="s">
        <v>2629</v>
      </c>
      <c r="CR226" s="584" t="s">
        <v>2629</v>
      </c>
      <c r="CS226" s="584" t="s">
        <v>2583</v>
      </c>
      <c r="CT226" s="584" t="s">
        <v>2584</v>
      </c>
      <c r="CU226" s="584" t="s">
        <v>2585</v>
      </c>
      <c r="CV226" s="585" t="s">
        <v>2586</v>
      </c>
    </row>
    <row r="227" spans="91:100" ht="25.5" x14ac:dyDescent="0.25">
      <c r="CM227" s="582"/>
      <c r="CN227" s="584" t="s">
        <v>2630</v>
      </c>
      <c r="CO227" s="584" t="s">
        <v>1908</v>
      </c>
      <c r="CP227" s="584" t="s">
        <v>1888</v>
      </c>
      <c r="CQ227" s="584" t="s">
        <v>2631</v>
      </c>
      <c r="CR227" s="584" t="s">
        <v>2631</v>
      </c>
      <c r="CS227" s="584" t="s">
        <v>2583</v>
      </c>
      <c r="CT227" s="584" t="s">
        <v>2584</v>
      </c>
      <c r="CU227" s="584" t="s">
        <v>2585</v>
      </c>
      <c r="CV227" s="585" t="s">
        <v>2586</v>
      </c>
    </row>
    <row r="228" spans="91:100" ht="25.5" x14ac:dyDescent="0.25">
      <c r="CM228" s="582"/>
      <c r="CN228" s="584" t="s">
        <v>2632</v>
      </c>
      <c r="CO228" s="584" t="s">
        <v>1908</v>
      </c>
      <c r="CP228" s="584" t="s">
        <v>1888</v>
      </c>
      <c r="CQ228" s="584" t="s">
        <v>2633</v>
      </c>
      <c r="CR228" s="584" t="s">
        <v>2633</v>
      </c>
      <c r="CS228" s="584" t="s">
        <v>2583</v>
      </c>
      <c r="CT228" s="584" t="s">
        <v>2584</v>
      </c>
      <c r="CU228" s="584" t="s">
        <v>2585</v>
      </c>
      <c r="CV228" s="585" t="s">
        <v>2586</v>
      </c>
    </row>
    <row r="229" spans="91:100" ht="25.5" x14ac:dyDescent="0.25">
      <c r="CM229" s="582"/>
      <c r="CN229" s="584" t="s">
        <v>2634</v>
      </c>
      <c r="CO229" s="584" t="s">
        <v>1908</v>
      </c>
      <c r="CP229" s="584" t="s">
        <v>1888</v>
      </c>
      <c r="CQ229" s="584" t="s">
        <v>2635</v>
      </c>
      <c r="CR229" s="584" t="s">
        <v>2635</v>
      </c>
      <c r="CS229" s="584" t="s">
        <v>2583</v>
      </c>
      <c r="CT229" s="584" t="s">
        <v>2584</v>
      </c>
      <c r="CU229" s="584" t="s">
        <v>2585</v>
      </c>
      <c r="CV229" s="585" t="s">
        <v>2586</v>
      </c>
    </row>
    <row r="230" spans="91:100" ht="25.5" x14ac:dyDescent="0.25">
      <c r="CM230" s="582"/>
      <c r="CN230" s="584" t="s">
        <v>2636</v>
      </c>
      <c r="CO230" s="584" t="s">
        <v>1908</v>
      </c>
      <c r="CP230" s="584" t="s">
        <v>1888</v>
      </c>
      <c r="CQ230" s="584" t="s">
        <v>2637</v>
      </c>
      <c r="CR230" s="584" t="s">
        <v>2637</v>
      </c>
      <c r="CS230" s="584" t="s">
        <v>2583</v>
      </c>
      <c r="CT230" s="584" t="s">
        <v>2584</v>
      </c>
      <c r="CU230" s="584" t="s">
        <v>2585</v>
      </c>
      <c r="CV230" s="585" t="s">
        <v>2586</v>
      </c>
    </row>
    <row r="231" spans="91:100" ht="25.5" x14ac:dyDescent="0.25">
      <c r="CM231" s="582"/>
      <c r="CN231" s="584" t="s">
        <v>2638</v>
      </c>
      <c r="CO231" s="584" t="s">
        <v>1908</v>
      </c>
      <c r="CP231" s="584" t="s">
        <v>1888</v>
      </c>
      <c r="CQ231" s="584" t="s">
        <v>2639</v>
      </c>
      <c r="CR231" s="584" t="s">
        <v>2639</v>
      </c>
      <c r="CS231" s="584" t="s">
        <v>2583</v>
      </c>
      <c r="CT231" s="584" t="s">
        <v>2584</v>
      </c>
      <c r="CU231" s="584" t="s">
        <v>2585</v>
      </c>
      <c r="CV231" s="585" t="s">
        <v>2586</v>
      </c>
    </row>
    <row r="232" spans="91:100" ht="25.5" x14ac:dyDescent="0.25">
      <c r="CM232" s="582"/>
      <c r="CN232" s="584" t="s">
        <v>2640</v>
      </c>
      <c r="CO232" s="584" t="s">
        <v>1908</v>
      </c>
      <c r="CP232" s="584" t="s">
        <v>1888</v>
      </c>
      <c r="CQ232" s="584" t="s">
        <v>2641</v>
      </c>
      <c r="CR232" s="584" t="s">
        <v>2641</v>
      </c>
      <c r="CS232" s="584" t="s">
        <v>2583</v>
      </c>
      <c r="CT232" s="584" t="s">
        <v>2584</v>
      </c>
      <c r="CU232" s="584" t="s">
        <v>2585</v>
      </c>
      <c r="CV232" s="585" t="s">
        <v>2586</v>
      </c>
    </row>
    <row r="233" spans="91:100" ht="25.5" x14ac:dyDescent="0.25">
      <c r="CM233" s="582"/>
      <c r="CN233" s="584" t="s">
        <v>2642</v>
      </c>
      <c r="CO233" s="584" t="s">
        <v>1908</v>
      </c>
      <c r="CP233" s="584" t="s">
        <v>1888</v>
      </c>
      <c r="CQ233" s="584" t="s">
        <v>2643</v>
      </c>
      <c r="CR233" s="584" t="s">
        <v>2643</v>
      </c>
      <c r="CS233" s="584" t="s">
        <v>2583</v>
      </c>
      <c r="CT233" s="584" t="s">
        <v>2584</v>
      </c>
      <c r="CU233" s="584" t="s">
        <v>2585</v>
      </c>
      <c r="CV233" s="585" t="s">
        <v>2586</v>
      </c>
    </row>
    <row r="234" spans="91:100" ht="25.5" x14ac:dyDescent="0.25">
      <c r="CM234" s="582"/>
      <c r="CN234" s="584" t="s">
        <v>2644</v>
      </c>
      <c r="CO234" s="584" t="s">
        <v>1908</v>
      </c>
      <c r="CP234" s="584" t="s">
        <v>1888</v>
      </c>
      <c r="CQ234" s="584" t="s">
        <v>2645</v>
      </c>
      <c r="CR234" s="584" t="s">
        <v>2645</v>
      </c>
      <c r="CS234" s="584" t="s">
        <v>2583</v>
      </c>
      <c r="CT234" s="584" t="s">
        <v>2584</v>
      </c>
      <c r="CU234" s="584" t="s">
        <v>2585</v>
      </c>
      <c r="CV234" s="585" t="s">
        <v>2586</v>
      </c>
    </row>
    <row r="235" spans="91:100" x14ac:dyDescent="0.25">
      <c r="CM235" s="582"/>
      <c r="CN235" s="584" t="s">
        <v>2646</v>
      </c>
      <c r="CO235" s="584" t="s">
        <v>1908</v>
      </c>
      <c r="CP235" s="584" t="s">
        <v>1888</v>
      </c>
      <c r="CQ235" s="584" t="s">
        <v>2647</v>
      </c>
      <c r="CR235" s="584" t="s">
        <v>2647</v>
      </c>
      <c r="CS235" s="584" t="s">
        <v>2583</v>
      </c>
      <c r="CT235" s="584" t="s">
        <v>2590</v>
      </c>
      <c r="CU235" s="584" t="s">
        <v>1892</v>
      </c>
      <c r="CV235" s="585" t="s">
        <v>1893</v>
      </c>
    </row>
    <row r="236" spans="91:100" x14ac:dyDescent="0.25">
      <c r="CM236" s="582"/>
      <c r="CN236" s="584" t="s">
        <v>2648</v>
      </c>
      <c r="CO236" s="584" t="s">
        <v>1908</v>
      </c>
      <c r="CP236" s="584" t="s">
        <v>1888</v>
      </c>
      <c r="CQ236" s="584" t="s">
        <v>2649</v>
      </c>
      <c r="CR236" s="584" t="s">
        <v>2649</v>
      </c>
      <c r="CS236" s="584" t="s">
        <v>1978</v>
      </c>
      <c r="CT236" s="584" t="s">
        <v>1979</v>
      </c>
      <c r="CU236" s="584" t="s">
        <v>1892</v>
      </c>
      <c r="CV236" s="585" t="s">
        <v>1980</v>
      </c>
    </row>
    <row r="237" spans="91:100" x14ac:dyDescent="0.25">
      <c r="CM237" s="582"/>
      <c r="CN237" s="584" t="s">
        <v>2650</v>
      </c>
      <c r="CO237" s="584" t="s">
        <v>1908</v>
      </c>
      <c r="CP237" s="584" t="s">
        <v>1888</v>
      </c>
      <c r="CQ237" s="584" t="s">
        <v>2651</v>
      </c>
      <c r="CR237" s="584" t="s">
        <v>2651</v>
      </c>
      <c r="CS237" s="584" t="s">
        <v>1978</v>
      </c>
      <c r="CT237" s="584" t="s">
        <v>1979</v>
      </c>
      <c r="CU237" s="584" t="s">
        <v>1892</v>
      </c>
      <c r="CV237" s="585" t="s">
        <v>1980</v>
      </c>
    </row>
    <row r="238" spans="91:100" ht="25.5" x14ac:dyDescent="0.25">
      <c r="CM238" s="582"/>
      <c r="CN238" s="584" t="s">
        <v>2652</v>
      </c>
      <c r="CO238" s="584" t="s">
        <v>1908</v>
      </c>
      <c r="CP238" s="584" t="s">
        <v>1888</v>
      </c>
      <c r="CQ238" s="584" t="s">
        <v>2653</v>
      </c>
      <c r="CR238" s="584" t="s">
        <v>2653</v>
      </c>
      <c r="CS238" s="584" t="s">
        <v>2583</v>
      </c>
      <c r="CT238" s="584" t="s">
        <v>2584</v>
      </c>
      <c r="CU238" s="584" t="s">
        <v>2585</v>
      </c>
      <c r="CV238" s="585" t="s">
        <v>2586</v>
      </c>
    </row>
    <row r="239" spans="91:100" ht="25.5" x14ac:dyDescent="0.25">
      <c r="CM239" s="582"/>
      <c r="CN239" s="584" t="s">
        <v>2654</v>
      </c>
      <c r="CO239" s="584" t="s">
        <v>1908</v>
      </c>
      <c r="CP239" s="584" t="s">
        <v>1888</v>
      </c>
      <c r="CQ239" s="584" t="s">
        <v>2655</v>
      </c>
      <c r="CR239" s="584" t="s">
        <v>2655</v>
      </c>
      <c r="CS239" s="584" t="s">
        <v>2583</v>
      </c>
      <c r="CT239" s="584" t="s">
        <v>2584</v>
      </c>
      <c r="CU239" s="584" t="s">
        <v>2585</v>
      </c>
      <c r="CV239" s="585" t="s">
        <v>2586</v>
      </c>
    </row>
    <row r="240" spans="91:100" ht="25.5" x14ac:dyDescent="0.25">
      <c r="CM240" s="582"/>
      <c r="CN240" s="584" t="s">
        <v>2656</v>
      </c>
      <c r="CO240" s="584" t="s">
        <v>1908</v>
      </c>
      <c r="CP240" s="584" t="s">
        <v>1888</v>
      </c>
      <c r="CQ240" s="584" t="s">
        <v>2657</v>
      </c>
      <c r="CR240" s="584" t="s">
        <v>2657</v>
      </c>
      <c r="CS240" s="584" t="s">
        <v>2583</v>
      </c>
      <c r="CT240" s="584" t="s">
        <v>2584</v>
      </c>
      <c r="CU240" s="584" t="s">
        <v>2585</v>
      </c>
      <c r="CV240" s="585" t="s">
        <v>2586</v>
      </c>
    </row>
    <row r="241" spans="91:100" ht="25.5" x14ac:dyDescent="0.25">
      <c r="CM241" s="582"/>
      <c r="CN241" s="584" t="s">
        <v>2658</v>
      </c>
      <c r="CO241" s="584" t="s">
        <v>1908</v>
      </c>
      <c r="CP241" s="584" t="s">
        <v>1888</v>
      </c>
      <c r="CQ241" s="584" t="s">
        <v>2659</v>
      </c>
      <c r="CR241" s="584" t="s">
        <v>2659</v>
      </c>
      <c r="CS241" s="584" t="s">
        <v>2583</v>
      </c>
      <c r="CT241" s="584" t="s">
        <v>2584</v>
      </c>
      <c r="CU241" s="584" t="s">
        <v>2585</v>
      </c>
      <c r="CV241" s="585" t="s">
        <v>2586</v>
      </c>
    </row>
    <row r="242" spans="91:100" ht="25.5" x14ac:dyDescent="0.25">
      <c r="CM242" s="582"/>
      <c r="CN242" s="584" t="s">
        <v>2660</v>
      </c>
      <c r="CO242" s="584" t="s">
        <v>1908</v>
      </c>
      <c r="CP242" s="584" t="s">
        <v>1888</v>
      </c>
      <c r="CQ242" s="584" t="s">
        <v>2661</v>
      </c>
      <c r="CR242" s="584" t="s">
        <v>2661</v>
      </c>
      <c r="CS242" s="584" t="s">
        <v>2583</v>
      </c>
      <c r="CT242" s="584" t="s">
        <v>2584</v>
      </c>
      <c r="CU242" s="584" t="s">
        <v>2585</v>
      </c>
      <c r="CV242" s="585" t="s">
        <v>2586</v>
      </c>
    </row>
    <row r="243" spans="91:100" ht="25.5" x14ac:dyDescent="0.25">
      <c r="CM243" s="582"/>
      <c r="CN243" s="584" t="s">
        <v>2662</v>
      </c>
      <c r="CO243" s="584" t="s">
        <v>1908</v>
      </c>
      <c r="CP243" s="584" t="s">
        <v>1888</v>
      </c>
      <c r="CQ243" s="584" t="s">
        <v>2663</v>
      </c>
      <c r="CR243" s="584" t="s">
        <v>2663</v>
      </c>
      <c r="CS243" s="584" t="s">
        <v>2583</v>
      </c>
      <c r="CT243" s="584" t="s">
        <v>2584</v>
      </c>
      <c r="CU243" s="584" t="s">
        <v>2585</v>
      </c>
      <c r="CV243" s="585" t="s">
        <v>2586</v>
      </c>
    </row>
    <row r="244" spans="91:100" ht="25.5" x14ac:dyDescent="0.25">
      <c r="CM244" s="582"/>
      <c r="CN244" s="584" t="s">
        <v>2664</v>
      </c>
      <c r="CO244" s="584" t="s">
        <v>1908</v>
      </c>
      <c r="CP244" s="584" t="s">
        <v>1888</v>
      </c>
      <c r="CQ244" s="584" t="s">
        <v>2665</v>
      </c>
      <c r="CR244" s="584" t="s">
        <v>2665</v>
      </c>
      <c r="CS244" s="584" t="s">
        <v>2583</v>
      </c>
      <c r="CT244" s="584" t="s">
        <v>2584</v>
      </c>
      <c r="CU244" s="584" t="s">
        <v>2585</v>
      </c>
      <c r="CV244" s="585" t="s">
        <v>2586</v>
      </c>
    </row>
    <row r="245" spans="91:100" ht="25.5" x14ac:dyDescent="0.25">
      <c r="CM245" s="582"/>
      <c r="CN245" s="584" t="s">
        <v>2666</v>
      </c>
      <c r="CO245" s="584" t="s">
        <v>1908</v>
      </c>
      <c r="CP245" s="584" t="s">
        <v>1888</v>
      </c>
      <c r="CQ245" s="584" t="s">
        <v>2667</v>
      </c>
      <c r="CR245" s="584" t="s">
        <v>2667</v>
      </c>
      <c r="CS245" s="584" t="s">
        <v>2583</v>
      </c>
      <c r="CT245" s="584" t="s">
        <v>2584</v>
      </c>
      <c r="CU245" s="584" t="s">
        <v>2585</v>
      </c>
      <c r="CV245" s="585" t="s">
        <v>2586</v>
      </c>
    </row>
    <row r="246" spans="91:100" ht="25.5" x14ac:dyDescent="0.25">
      <c r="CM246" s="582"/>
      <c r="CN246" s="584" t="s">
        <v>2668</v>
      </c>
      <c r="CO246" s="584" t="s">
        <v>1908</v>
      </c>
      <c r="CP246" s="584" t="s">
        <v>1888</v>
      </c>
      <c r="CQ246" s="584" t="s">
        <v>2669</v>
      </c>
      <c r="CR246" s="584" t="s">
        <v>2669</v>
      </c>
      <c r="CS246" s="584" t="s">
        <v>2583</v>
      </c>
      <c r="CT246" s="584" t="s">
        <v>2584</v>
      </c>
      <c r="CU246" s="584" t="s">
        <v>2585</v>
      </c>
      <c r="CV246" s="585" t="s">
        <v>2586</v>
      </c>
    </row>
    <row r="247" spans="91:100" ht="25.5" x14ac:dyDescent="0.25">
      <c r="CM247" s="582"/>
      <c r="CN247" s="584" t="s">
        <v>2670</v>
      </c>
      <c r="CO247" s="584" t="s">
        <v>1908</v>
      </c>
      <c r="CP247" s="584" t="s">
        <v>1888</v>
      </c>
      <c r="CQ247" s="584" t="s">
        <v>2671</v>
      </c>
      <c r="CR247" s="584" t="s">
        <v>2671</v>
      </c>
      <c r="CS247" s="584" t="s">
        <v>2583</v>
      </c>
      <c r="CT247" s="584" t="s">
        <v>2584</v>
      </c>
      <c r="CU247" s="584" t="s">
        <v>2585</v>
      </c>
      <c r="CV247" s="585" t="s">
        <v>2586</v>
      </c>
    </row>
    <row r="248" spans="91:100" ht="25.5" x14ac:dyDescent="0.25">
      <c r="CM248" s="582"/>
      <c r="CN248" s="584" t="s">
        <v>2672</v>
      </c>
      <c r="CO248" s="584" t="s">
        <v>1908</v>
      </c>
      <c r="CP248" s="584" t="s">
        <v>1888</v>
      </c>
      <c r="CQ248" s="584" t="s">
        <v>2673</v>
      </c>
      <c r="CR248" s="584" t="s">
        <v>2673</v>
      </c>
      <c r="CS248" s="584" t="s">
        <v>2583</v>
      </c>
      <c r="CT248" s="584" t="s">
        <v>2584</v>
      </c>
      <c r="CU248" s="584" t="s">
        <v>2585</v>
      </c>
      <c r="CV248" s="585" t="s">
        <v>2586</v>
      </c>
    </row>
    <row r="249" spans="91:100" ht="25.5" x14ac:dyDescent="0.25">
      <c r="CM249" s="582"/>
      <c r="CN249" s="584" t="s">
        <v>2674</v>
      </c>
      <c r="CO249" s="584" t="s">
        <v>1908</v>
      </c>
      <c r="CP249" s="584" t="s">
        <v>1888</v>
      </c>
      <c r="CQ249" s="584" t="s">
        <v>2675</v>
      </c>
      <c r="CR249" s="584" t="s">
        <v>2675</v>
      </c>
      <c r="CS249" s="584" t="s">
        <v>2583</v>
      </c>
      <c r="CT249" s="584" t="s">
        <v>2584</v>
      </c>
      <c r="CU249" s="584" t="s">
        <v>2585</v>
      </c>
      <c r="CV249" s="585" t="s">
        <v>2586</v>
      </c>
    </row>
    <row r="250" spans="91:100" ht="25.5" x14ac:dyDescent="0.25">
      <c r="CM250" s="582"/>
      <c r="CN250" s="584" t="s">
        <v>2676</v>
      </c>
      <c r="CO250" s="584" t="s">
        <v>1908</v>
      </c>
      <c r="CP250" s="584" t="s">
        <v>1888</v>
      </c>
      <c r="CQ250" s="584" t="s">
        <v>2677</v>
      </c>
      <c r="CR250" s="584" t="s">
        <v>2677</v>
      </c>
      <c r="CS250" s="584" t="s">
        <v>2583</v>
      </c>
      <c r="CT250" s="584" t="s">
        <v>2584</v>
      </c>
      <c r="CU250" s="584" t="s">
        <v>2585</v>
      </c>
      <c r="CV250" s="585" t="s">
        <v>2586</v>
      </c>
    </row>
    <row r="251" spans="91:100" ht="25.5" x14ac:dyDescent="0.25">
      <c r="CM251" s="582"/>
      <c r="CN251" s="584" t="s">
        <v>2678</v>
      </c>
      <c r="CO251" s="584" t="s">
        <v>1908</v>
      </c>
      <c r="CP251" s="584" t="s">
        <v>1888</v>
      </c>
      <c r="CQ251" s="584" t="s">
        <v>2679</v>
      </c>
      <c r="CR251" s="584" t="s">
        <v>2679</v>
      </c>
      <c r="CS251" s="584" t="s">
        <v>2583</v>
      </c>
      <c r="CT251" s="584" t="s">
        <v>2584</v>
      </c>
      <c r="CU251" s="584" t="s">
        <v>2585</v>
      </c>
      <c r="CV251" s="585" t="s">
        <v>2586</v>
      </c>
    </row>
    <row r="252" spans="91:100" ht="25.5" x14ac:dyDescent="0.25">
      <c r="CM252" s="582"/>
      <c r="CN252" s="584" t="s">
        <v>2680</v>
      </c>
      <c r="CO252" s="584" t="s">
        <v>1908</v>
      </c>
      <c r="CP252" s="584" t="s">
        <v>1888</v>
      </c>
      <c r="CQ252" s="584" t="s">
        <v>2681</v>
      </c>
      <c r="CR252" s="584" t="s">
        <v>2681</v>
      </c>
      <c r="CS252" s="584" t="s">
        <v>2583</v>
      </c>
      <c r="CT252" s="584" t="s">
        <v>2584</v>
      </c>
      <c r="CU252" s="584" t="s">
        <v>2585</v>
      </c>
      <c r="CV252" s="585" t="s">
        <v>2586</v>
      </c>
    </row>
    <row r="253" spans="91:100" ht="25.5" x14ac:dyDescent="0.25">
      <c r="CM253" s="582"/>
      <c r="CN253" s="584" t="s">
        <v>2682</v>
      </c>
      <c r="CO253" s="584" t="s">
        <v>1908</v>
      </c>
      <c r="CP253" s="584" t="s">
        <v>1888</v>
      </c>
      <c r="CQ253" s="584" t="s">
        <v>2683</v>
      </c>
      <c r="CR253" s="584" t="s">
        <v>2683</v>
      </c>
      <c r="CS253" s="584" t="s">
        <v>2583</v>
      </c>
      <c r="CT253" s="584" t="s">
        <v>2584</v>
      </c>
      <c r="CU253" s="584" t="s">
        <v>2585</v>
      </c>
      <c r="CV253" s="585" t="s">
        <v>2586</v>
      </c>
    </row>
    <row r="254" spans="91:100" ht="25.5" x14ac:dyDescent="0.25">
      <c r="CM254" s="582"/>
      <c r="CN254" s="584" t="s">
        <v>2684</v>
      </c>
      <c r="CO254" s="584" t="s">
        <v>1908</v>
      </c>
      <c r="CP254" s="584" t="s">
        <v>1888</v>
      </c>
      <c r="CQ254" s="584" t="s">
        <v>2685</v>
      </c>
      <c r="CR254" s="584" t="s">
        <v>2685</v>
      </c>
      <c r="CS254" s="584" t="s">
        <v>2583</v>
      </c>
      <c r="CT254" s="584" t="s">
        <v>2584</v>
      </c>
      <c r="CU254" s="584" t="s">
        <v>2585</v>
      </c>
      <c r="CV254" s="585" t="s">
        <v>2586</v>
      </c>
    </row>
    <row r="255" spans="91:100" ht="25.5" x14ac:dyDescent="0.25">
      <c r="CM255" s="582"/>
      <c r="CN255" s="584" t="s">
        <v>2686</v>
      </c>
      <c r="CO255" s="584" t="s">
        <v>1908</v>
      </c>
      <c r="CP255" s="584" t="s">
        <v>1888</v>
      </c>
      <c r="CQ255" s="584" t="s">
        <v>2687</v>
      </c>
      <c r="CR255" s="584" t="s">
        <v>2687</v>
      </c>
      <c r="CS255" s="584" t="s">
        <v>2583</v>
      </c>
      <c r="CT255" s="584" t="s">
        <v>2584</v>
      </c>
      <c r="CU255" s="584" t="s">
        <v>2585</v>
      </c>
      <c r="CV255" s="585" t="s">
        <v>2586</v>
      </c>
    </row>
    <row r="256" spans="91:100" ht="25.5" x14ac:dyDescent="0.25">
      <c r="CM256" s="582"/>
      <c r="CN256" s="584" t="s">
        <v>2688</v>
      </c>
      <c r="CO256" s="584" t="s">
        <v>1908</v>
      </c>
      <c r="CP256" s="584" t="s">
        <v>1888</v>
      </c>
      <c r="CQ256" s="584" t="s">
        <v>2689</v>
      </c>
      <c r="CR256" s="584" t="s">
        <v>2689</v>
      </c>
      <c r="CS256" s="584" t="s">
        <v>2583</v>
      </c>
      <c r="CT256" s="584" t="s">
        <v>2584</v>
      </c>
      <c r="CU256" s="584" t="s">
        <v>2585</v>
      </c>
      <c r="CV256" s="585" t="s">
        <v>2586</v>
      </c>
    </row>
    <row r="257" spans="91:100" ht="25.5" x14ac:dyDescent="0.25">
      <c r="CM257" s="582"/>
      <c r="CN257" s="584" t="s">
        <v>2690</v>
      </c>
      <c r="CO257" s="584" t="s">
        <v>1908</v>
      </c>
      <c r="CP257" s="584" t="s">
        <v>1888</v>
      </c>
      <c r="CQ257" s="584" t="s">
        <v>2691</v>
      </c>
      <c r="CR257" s="584" t="s">
        <v>2691</v>
      </c>
      <c r="CS257" s="584" t="s">
        <v>2583</v>
      </c>
      <c r="CT257" s="584" t="s">
        <v>2584</v>
      </c>
      <c r="CU257" s="584" t="s">
        <v>2585</v>
      </c>
      <c r="CV257" s="585" t="s">
        <v>2586</v>
      </c>
    </row>
    <row r="258" spans="91:100" ht="25.5" x14ac:dyDescent="0.25">
      <c r="CM258" s="582"/>
      <c r="CN258" s="584" t="s">
        <v>2692</v>
      </c>
      <c r="CO258" s="584" t="s">
        <v>1908</v>
      </c>
      <c r="CP258" s="584" t="s">
        <v>1888</v>
      </c>
      <c r="CQ258" s="584" t="s">
        <v>2693</v>
      </c>
      <c r="CR258" s="584" t="s">
        <v>2693</v>
      </c>
      <c r="CS258" s="584" t="s">
        <v>2583</v>
      </c>
      <c r="CT258" s="584" t="s">
        <v>2584</v>
      </c>
      <c r="CU258" s="584" t="s">
        <v>2585</v>
      </c>
      <c r="CV258" s="585" t="s">
        <v>2586</v>
      </c>
    </row>
    <row r="259" spans="91:100" x14ac:dyDescent="0.25">
      <c r="CM259" s="582"/>
      <c r="CN259" s="584" t="s">
        <v>2694</v>
      </c>
      <c r="CO259" s="584" t="s">
        <v>1908</v>
      </c>
      <c r="CP259" s="584" t="s">
        <v>1888</v>
      </c>
      <c r="CQ259" s="584" t="s">
        <v>2695</v>
      </c>
      <c r="CR259" s="584" t="s">
        <v>2695</v>
      </c>
      <c r="CS259" s="584" t="s">
        <v>2583</v>
      </c>
      <c r="CT259" s="584" t="s">
        <v>2590</v>
      </c>
      <c r="CU259" s="584" t="s">
        <v>1892</v>
      </c>
      <c r="CV259" s="585" t="s">
        <v>1893</v>
      </c>
    </row>
    <row r="260" spans="91:100" ht="25.5" x14ac:dyDescent="0.25">
      <c r="CM260" s="582"/>
      <c r="CN260" s="584" t="s">
        <v>2696</v>
      </c>
      <c r="CO260" s="584" t="s">
        <v>1908</v>
      </c>
      <c r="CP260" s="584" t="s">
        <v>1888</v>
      </c>
      <c r="CQ260" s="584" t="s">
        <v>2697</v>
      </c>
      <c r="CR260" s="584" t="s">
        <v>2697</v>
      </c>
      <c r="CS260" s="584" t="s">
        <v>2583</v>
      </c>
      <c r="CT260" s="584" t="s">
        <v>2584</v>
      </c>
      <c r="CU260" s="584" t="s">
        <v>2585</v>
      </c>
      <c r="CV260" s="585" t="s">
        <v>2586</v>
      </c>
    </row>
    <row r="261" spans="91:100" ht="25.5" x14ac:dyDescent="0.25">
      <c r="CM261" s="582"/>
      <c r="CN261" s="584" t="s">
        <v>2698</v>
      </c>
      <c r="CO261" s="584" t="s">
        <v>1908</v>
      </c>
      <c r="CP261" s="584" t="s">
        <v>1888</v>
      </c>
      <c r="CQ261" s="584" t="s">
        <v>2699</v>
      </c>
      <c r="CR261" s="584" t="s">
        <v>2699</v>
      </c>
      <c r="CS261" s="584" t="s">
        <v>2583</v>
      </c>
      <c r="CT261" s="584" t="s">
        <v>2584</v>
      </c>
      <c r="CU261" s="584" t="s">
        <v>2585</v>
      </c>
      <c r="CV261" s="585" t="s">
        <v>2586</v>
      </c>
    </row>
    <row r="262" spans="91:100" ht="25.5" x14ac:dyDescent="0.25">
      <c r="CM262" s="582"/>
      <c r="CN262" s="584" t="s">
        <v>2700</v>
      </c>
      <c r="CO262" s="584" t="s">
        <v>1908</v>
      </c>
      <c r="CP262" s="584" t="s">
        <v>1888</v>
      </c>
      <c r="CQ262" s="584" t="s">
        <v>2701</v>
      </c>
      <c r="CR262" s="584" t="s">
        <v>2701</v>
      </c>
      <c r="CS262" s="584" t="s">
        <v>2583</v>
      </c>
      <c r="CT262" s="584" t="s">
        <v>2584</v>
      </c>
      <c r="CU262" s="584" t="s">
        <v>2585</v>
      </c>
      <c r="CV262" s="585" t="s">
        <v>2586</v>
      </c>
    </row>
    <row r="263" spans="91:100" ht="25.5" x14ac:dyDescent="0.25">
      <c r="CM263" s="582"/>
      <c r="CN263" s="584" t="s">
        <v>2702</v>
      </c>
      <c r="CO263" s="584" t="s">
        <v>1908</v>
      </c>
      <c r="CP263" s="584" t="s">
        <v>1888</v>
      </c>
      <c r="CQ263" s="584" t="s">
        <v>2703</v>
      </c>
      <c r="CR263" s="584" t="s">
        <v>2703</v>
      </c>
      <c r="CS263" s="584" t="s">
        <v>2583</v>
      </c>
      <c r="CT263" s="584" t="s">
        <v>2584</v>
      </c>
      <c r="CU263" s="584" t="s">
        <v>2585</v>
      </c>
      <c r="CV263" s="585" t="s">
        <v>2586</v>
      </c>
    </row>
    <row r="264" spans="91:100" ht="25.5" x14ac:dyDescent="0.25">
      <c r="CM264" s="582"/>
      <c r="CN264" s="584" t="s">
        <v>2704</v>
      </c>
      <c r="CO264" s="584" t="s">
        <v>1908</v>
      </c>
      <c r="CP264" s="584" t="s">
        <v>1888</v>
      </c>
      <c r="CQ264" s="584" t="s">
        <v>2705</v>
      </c>
      <c r="CR264" s="584" t="s">
        <v>2705</v>
      </c>
      <c r="CS264" s="584" t="s">
        <v>2583</v>
      </c>
      <c r="CT264" s="584" t="s">
        <v>2584</v>
      </c>
      <c r="CU264" s="584" t="s">
        <v>2585</v>
      </c>
      <c r="CV264" s="585" t="s">
        <v>2586</v>
      </c>
    </row>
    <row r="265" spans="91:100" ht="25.5" x14ac:dyDescent="0.25">
      <c r="CM265" s="582"/>
      <c r="CN265" s="584" t="s">
        <v>2706</v>
      </c>
      <c r="CO265" s="584" t="s">
        <v>1908</v>
      </c>
      <c r="CP265" s="584" t="s">
        <v>1888</v>
      </c>
      <c r="CQ265" s="584" t="s">
        <v>2707</v>
      </c>
      <c r="CR265" s="584" t="s">
        <v>2707</v>
      </c>
      <c r="CS265" s="584" t="s">
        <v>2583</v>
      </c>
      <c r="CT265" s="584" t="s">
        <v>2584</v>
      </c>
      <c r="CU265" s="584" t="s">
        <v>2585</v>
      </c>
      <c r="CV265" s="585" t="s">
        <v>2586</v>
      </c>
    </row>
    <row r="266" spans="91:100" ht="25.5" x14ac:dyDescent="0.25">
      <c r="CM266" s="582"/>
      <c r="CN266" s="584" t="s">
        <v>2708</v>
      </c>
      <c r="CO266" s="584" t="s">
        <v>1908</v>
      </c>
      <c r="CP266" s="584" t="s">
        <v>1888</v>
      </c>
      <c r="CQ266" s="584" t="s">
        <v>2709</v>
      </c>
      <c r="CR266" s="584" t="s">
        <v>2709</v>
      </c>
      <c r="CS266" s="584" t="s">
        <v>2583</v>
      </c>
      <c r="CT266" s="584" t="s">
        <v>2584</v>
      </c>
      <c r="CU266" s="584" t="s">
        <v>2585</v>
      </c>
      <c r="CV266" s="585" t="s">
        <v>2586</v>
      </c>
    </row>
    <row r="267" spans="91:100" x14ac:dyDescent="0.25">
      <c r="CM267" s="582"/>
      <c r="CN267" s="584" t="s">
        <v>2710</v>
      </c>
      <c r="CO267" s="584" t="s">
        <v>1908</v>
      </c>
      <c r="CP267" s="584" t="s">
        <v>1888</v>
      </c>
      <c r="CQ267" s="584" t="s">
        <v>2711</v>
      </c>
      <c r="CR267" s="584" t="s">
        <v>2712</v>
      </c>
      <c r="CS267" s="584" t="s">
        <v>2583</v>
      </c>
      <c r="CT267" s="584" t="s">
        <v>2590</v>
      </c>
      <c r="CU267" s="584" t="s">
        <v>1892</v>
      </c>
      <c r="CV267" s="585" t="s">
        <v>1893</v>
      </c>
    </row>
    <row r="268" spans="91:100" ht="25.5" x14ac:dyDescent="0.25">
      <c r="CM268" s="582"/>
      <c r="CN268" s="584" t="s">
        <v>2713</v>
      </c>
      <c r="CO268" s="584" t="s">
        <v>1908</v>
      </c>
      <c r="CP268" s="584" t="s">
        <v>1888</v>
      </c>
      <c r="CQ268" s="584" t="s">
        <v>2714</v>
      </c>
      <c r="CR268" s="584" t="s">
        <v>2714</v>
      </c>
      <c r="CS268" s="584" t="s">
        <v>2583</v>
      </c>
      <c r="CT268" s="584" t="s">
        <v>2584</v>
      </c>
      <c r="CU268" s="584" t="s">
        <v>2585</v>
      </c>
      <c r="CV268" s="585" t="s">
        <v>2586</v>
      </c>
    </row>
    <row r="269" spans="91:100" x14ac:dyDescent="0.25">
      <c r="CM269" s="582"/>
      <c r="CN269" s="584" t="s">
        <v>2715</v>
      </c>
      <c r="CO269" s="584" t="s">
        <v>1908</v>
      </c>
      <c r="CP269" s="584" t="s">
        <v>1888</v>
      </c>
      <c r="CQ269" s="584" t="s">
        <v>2716</v>
      </c>
      <c r="CR269" s="584" t="s">
        <v>2717</v>
      </c>
      <c r="CS269" s="584" t="s">
        <v>2583</v>
      </c>
      <c r="CT269" s="584" t="s">
        <v>2590</v>
      </c>
      <c r="CU269" s="584" t="s">
        <v>1892</v>
      </c>
      <c r="CV269" s="585" t="s">
        <v>1893</v>
      </c>
    </row>
    <row r="270" spans="91:100" x14ac:dyDescent="0.25">
      <c r="CM270" s="582"/>
      <c r="CN270" s="584" t="s">
        <v>2718</v>
      </c>
      <c r="CO270" s="584" t="s">
        <v>1908</v>
      </c>
      <c r="CP270" s="584" t="s">
        <v>1888</v>
      </c>
      <c r="CQ270" s="584" t="s">
        <v>2719</v>
      </c>
      <c r="CR270" s="584" t="s">
        <v>2720</v>
      </c>
      <c r="CS270" s="584" t="s">
        <v>2583</v>
      </c>
      <c r="CT270" s="584" t="s">
        <v>2590</v>
      </c>
      <c r="CU270" s="584" t="s">
        <v>1892</v>
      </c>
      <c r="CV270" s="585" t="s">
        <v>1893</v>
      </c>
    </row>
    <row r="271" spans="91:100" ht="25.5" x14ac:dyDescent="0.25">
      <c r="CM271" s="582"/>
      <c r="CN271" s="584" t="s">
        <v>2721</v>
      </c>
      <c r="CO271" s="584" t="s">
        <v>1908</v>
      </c>
      <c r="CP271" s="584" t="s">
        <v>1888</v>
      </c>
      <c r="CQ271" s="584" t="s">
        <v>2722</v>
      </c>
      <c r="CR271" s="584" t="s">
        <v>2722</v>
      </c>
      <c r="CS271" s="584" t="s">
        <v>2583</v>
      </c>
      <c r="CT271" s="584" t="s">
        <v>2584</v>
      </c>
      <c r="CU271" s="584" t="s">
        <v>2585</v>
      </c>
      <c r="CV271" s="585" t="s">
        <v>2586</v>
      </c>
    </row>
    <row r="272" spans="91:100" ht="25.5" x14ac:dyDescent="0.25">
      <c r="CM272" s="582"/>
      <c r="CN272" s="584" t="s">
        <v>2723</v>
      </c>
      <c r="CO272" s="584" t="s">
        <v>1908</v>
      </c>
      <c r="CP272" s="584" t="s">
        <v>1888</v>
      </c>
      <c r="CQ272" s="584" t="s">
        <v>2724</v>
      </c>
      <c r="CR272" s="584" t="s">
        <v>2724</v>
      </c>
      <c r="CS272" s="584" t="s">
        <v>2583</v>
      </c>
      <c r="CT272" s="584" t="s">
        <v>2584</v>
      </c>
      <c r="CU272" s="584" t="s">
        <v>2585</v>
      </c>
      <c r="CV272" s="585" t="s">
        <v>2586</v>
      </c>
    </row>
    <row r="273" spans="91:100" ht="25.5" x14ac:dyDescent="0.25">
      <c r="CM273" s="582"/>
      <c r="CN273" s="584" t="s">
        <v>2725</v>
      </c>
      <c r="CO273" s="584" t="s">
        <v>1908</v>
      </c>
      <c r="CP273" s="584" t="s">
        <v>1888</v>
      </c>
      <c r="CQ273" s="584" t="s">
        <v>2726</v>
      </c>
      <c r="CR273" s="584" t="s">
        <v>2726</v>
      </c>
      <c r="CS273" s="584" t="s">
        <v>2583</v>
      </c>
      <c r="CT273" s="584" t="s">
        <v>2584</v>
      </c>
      <c r="CU273" s="584" t="s">
        <v>2585</v>
      </c>
      <c r="CV273" s="585" t="s">
        <v>2586</v>
      </c>
    </row>
    <row r="274" spans="91:100" ht="25.5" x14ac:dyDescent="0.25">
      <c r="CM274" s="582"/>
      <c r="CN274" s="584" t="s">
        <v>2727</v>
      </c>
      <c r="CO274" s="584" t="s">
        <v>1908</v>
      </c>
      <c r="CP274" s="584" t="s">
        <v>1888</v>
      </c>
      <c r="CQ274" s="584" t="s">
        <v>2728</v>
      </c>
      <c r="CR274" s="584" t="s">
        <v>2728</v>
      </c>
      <c r="CS274" s="584" t="s">
        <v>2583</v>
      </c>
      <c r="CT274" s="584" t="s">
        <v>2584</v>
      </c>
      <c r="CU274" s="584" t="s">
        <v>2585</v>
      </c>
      <c r="CV274" s="585" t="s">
        <v>2586</v>
      </c>
    </row>
    <row r="275" spans="91:100" x14ac:dyDescent="0.25">
      <c r="CM275" s="582"/>
      <c r="CN275" s="584" t="s">
        <v>2729</v>
      </c>
      <c r="CO275" s="584" t="s">
        <v>1908</v>
      </c>
      <c r="CP275" s="584" t="s">
        <v>1888</v>
      </c>
      <c r="CQ275" s="584" t="s">
        <v>2730</v>
      </c>
      <c r="CR275" s="584" t="s">
        <v>2730</v>
      </c>
      <c r="CS275" s="584" t="s">
        <v>2583</v>
      </c>
      <c r="CT275" s="584" t="s">
        <v>2590</v>
      </c>
      <c r="CU275" s="584" t="s">
        <v>1892</v>
      </c>
      <c r="CV275" s="585" t="s">
        <v>1893</v>
      </c>
    </row>
    <row r="276" spans="91:100" x14ac:dyDescent="0.25">
      <c r="CM276" s="582"/>
      <c r="CN276" s="584" t="s">
        <v>2731</v>
      </c>
      <c r="CO276" s="584" t="s">
        <v>1908</v>
      </c>
      <c r="CP276" s="584" t="s">
        <v>1888</v>
      </c>
      <c r="CQ276" s="584" t="s">
        <v>2732</v>
      </c>
      <c r="CR276" s="584" t="s">
        <v>2732</v>
      </c>
      <c r="CS276" s="584" t="s">
        <v>2583</v>
      </c>
      <c r="CT276" s="584" t="s">
        <v>2590</v>
      </c>
      <c r="CU276" s="584" t="s">
        <v>1892</v>
      </c>
      <c r="CV276" s="585" t="s">
        <v>1893</v>
      </c>
    </row>
    <row r="277" spans="91:100" ht="25.5" x14ac:dyDescent="0.25">
      <c r="CM277" s="582"/>
      <c r="CN277" s="584" t="s">
        <v>2733</v>
      </c>
      <c r="CO277" s="584" t="s">
        <v>1908</v>
      </c>
      <c r="CP277" s="584" t="s">
        <v>1888</v>
      </c>
      <c r="CQ277" s="584" t="s">
        <v>2734</v>
      </c>
      <c r="CR277" s="584" t="s">
        <v>2734</v>
      </c>
      <c r="CS277" s="584" t="s">
        <v>2583</v>
      </c>
      <c r="CT277" s="584" t="s">
        <v>2584</v>
      </c>
      <c r="CU277" s="584" t="s">
        <v>2585</v>
      </c>
      <c r="CV277" s="585" t="s">
        <v>2586</v>
      </c>
    </row>
    <row r="278" spans="91:100" ht="25.5" x14ac:dyDescent="0.25">
      <c r="CM278" s="582"/>
      <c r="CN278" s="584" t="s">
        <v>2735</v>
      </c>
      <c r="CO278" s="584" t="s">
        <v>1908</v>
      </c>
      <c r="CP278" s="584" t="s">
        <v>1888</v>
      </c>
      <c r="CQ278" s="584" t="s">
        <v>2736</v>
      </c>
      <c r="CR278" s="584" t="s">
        <v>2736</v>
      </c>
      <c r="CS278" s="584" t="s">
        <v>2583</v>
      </c>
      <c r="CT278" s="584" t="s">
        <v>2584</v>
      </c>
      <c r="CU278" s="584" t="s">
        <v>2585</v>
      </c>
      <c r="CV278" s="585" t="s">
        <v>2586</v>
      </c>
    </row>
    <row r="279" spans="91:100" ht="25.5" x14ac:dyDescent="0.25">
      <c r="CM279" s="582"/>
      <c r="CN279" s="584" t="s">
        <v>2737</v>
      </c>
      <c r="CO279" s="584" t="s">
        <v>1908</v>
      </c>
      <c r="CP279" s="584" t="s">
        <v>1888</v>
      </c>
      <c r="CQ279" s="584" t="s">
        <v>2738</v>
      </c>
      <c r="CR279" s="584" t="s">
        <v>2738</v>
      </c>
      <c r="CS279" s="584" t="s">
        <v>2583</v>
      </c>
      <c r="CT279" s="584" t="s">
        <v>2584</v>
      </c>
      <c r="CU279" s="584" t="s">
        <v>2585</v>
      </c>
      <c r="CV279" s="585" t="s">
        <v>2586</v>
      </c>
    </row>
    <row r="280" spans="91:100" ht="25.5" x14ac:dyDescent="0.25">
      <c r="CM280" s="582"/>
      <c r="CN280" s="584" t="s">
        <v>2739</v>
      </c>
      <c r="CO280" s="584" t="s">
        <v>1908</v>
      </c>
      <c r="CP280" s="584" t="s">
        <v>1888</v>
      </c>
      <c r="CQ280" s="584" t="s">
        <v>2740</v>
      </c>
      <c r="CR280" s="584" t="s">
        <v>2740</v>
      </c>
      <c r="CS280" s="584" t="s">
        <v>2583</v>
      </c>
      <c r="CT280" s="584" t="s">
        <v>2584</v>
      </c>
      <c r="CU280" s="584" t="s">
        <v>2585</v>
      </c>
      <c r="CV280" s="585" t="s">
        <v>2586</v>
      </c>
    </row>
    <row r="281" spans="91:100" ht="25.5" x14ac:dyDescent="0.25">
      <c r="CM281" s="582"/>
      <c r="CN281" s="584" t="s">
        <v>2741</v>
      </c>
      <c r="CO281" s="584" t="s">
        <v>1908</v>
      </c>
      <c r="CP281" s="584" t="s">
        <v>1888</v>
      </c>
      <c r="CQ281" s="584" t="s">
        <v>2742</v>
      </c>
      <c r="CR281" s="584" t="s">
        <v>2742</v>
      </c>
      <c r="CS281" s="584" t="s">
        <v>2583</v>
      </c>
      <c r="CT281" s="584" t="s">
        <v>2584</v>
      </c>
      <c r="CU281" s="584" t="s">
        <v>2585</v>
      </c>
      <c r="CV281" s="585" t="s">
        <v>2586</v>
      </c>
    </row>
    <row r="282" spans="91:100" x14ac:dyDescent="0.25">
      <c r="CM282" s="582"/>
      <c r="CN282" s="584" t="s">
        <v>2743</v>
      </c>
      <c r="CO282" s="584" t="s">
        <v>1908</v>
      </c>
      <c r="CP282" s="584" t="s">
        <v>1888</v>
      </c>
      <c r="CQ282" s="584" t="s">
        <v>2744</v>
      </c>
      <c r="CR282" s="584" t="s">
        <v>2744</v>
      </c>
      <c r="CS282" s="584" t="s">
        <v>2583</v>
      </c>
      <c r="CT282" s="584" t="s">
        <v>2590</v>
      </c>
      <c r="CU282" s="584" t="s">
        <v>1892</v>
      </c>
      <c r="CV282" s="585" t="s">
        <v>1893</v>
      </c>
    </row>
    <row r="283" spans="91:100" ht="25.5" x14ac:dyDescent="0.25">
      <c r="CM283" s="582"/>
      <c r="CN283" s="584" t="s">
        <v>2745</v>
      </c>
      <c r="CO283" s="584" t="s">
        <v>1908</v>
      </c>
      <c r="CP283" s="584" t="s">
        <v>1888</v>
      </c>
      <c r="CQ283" s="584" t="s">
        <v>2746</v>
      </c>
      <c r="CR283" s="584" t="s">
        <v>2746</v>
      </c>
      <c r="CS283" s="584" t="s">
        <v>2583</v>
      </c>
      <c r="CT283" s="584" t="s">
        <v>2584</v>
      </c>
      <c r="CU283" s="584" t="s">
        <v>2585</v>
      </c>
      <c r="CV283" s="585" t="s">
        <v>2586</v>
      </c>
    </row>
    <row r="284" spans="91:100" ht="25.5" x14ac:dyDescent="0.25">
      <c r="CM284" s="582"/>
      <c r="CN284" s="584" t="s">
        <v>2747</v>
      </c>
      <c r="CO284" s="584" t="s">
        <v>1908</v>
      </c>
      <c r="CP284" s="584" t="s">
        <v>1888</v>
      </c>
      <c r="CQ284" s="584" t="s">
        <v>2748</v>
      </c>
      <c r="CR284" s="584" t="s">
        <v>2748</v>
      </c>
      <c r="CS284" s="584" t="s">
        <v>2583</v>
      </c>
      <c r="CT284" s="584" t="s">
        <v>2584</v>
      </c>
      <c r="CU284" s="584" t="s">
        <v>2585</v>
      </c>
      <c r="CV284" s="585" t="s">
        <v>2586</v>
      </c>
    </row>
    <row r="285" spans="91:100" x14ac:dyDescent="0.25">
      <c r="CM285" s="582"/>
      <c r="CN285" s="584" t="s">
        <v>2749</v>
      </c>
      <c r="CO285" s="584" t="s">
        <v>1908</v>
      </c>
      <c r="CP285" s="584" t="s">
        <v>1888</v>
      </c>
      <c r="CQ285" s="584" t="s">
        <v>2750</v>
      </c>
      <c r="CR285" s="584" t="s">
        <v>2751</v>
      </c>
      <c r="CS285" s="584" t="s">
        <v>2583</v>
      </c>
      <c r="CT285" s="584" t="s">
        <v>2590</v>
      </c>
      <c r="CU285" s="584" t="s">
        <v>1892</v>
      </c>
      <c r="CV285" s="585" t="s">
        <v>1893</v>
      </c>
    </row>
    <row r="286" spans="91:100" ht="25.5" x14ac:dyDescent="0.25">
      <c r="CM286" s="582"/>
      <c r="CN286" s="584" t="s">
        <v>2752</v>
      </c>
      <c r="CO286" s="584" t="s">
        <v>1908</v>
      </c>
      <c r="CP286" s="584" t="s">
        <v>1888</v>
      </c>
      <c r="CQ286" s="584" t="s">
        <v>2753</v>
      </c>
      <c r="CR286" s="584" t="s">
        <v>2753</v>
      </c>
      <c r="CS286" s="584" t="s">
        <v>2583</v>
      </c>
      <c r="CT286" s="584" t="s">
        <v>2584</v>
      </c>
      <c r="CU286" s="584" t="s">
        <v>2585</v>
      </c>
      <c r="CV286" s="585" t="s">
        <v>2586</v>
      </c>
    </row>
    <row r="287" spans="91:100" ht="25.5" x14ac:dyDescent="0.25">
      <c r="CM287" s="582"/>
      <c r="CN287" s="584" t="s">
        <v>2754</v>
      </c>
      <c r="CO287" s="584" t="s">
        <v>1908</v>
      </c>
      <c r="CP287" s="584" t="s">
        <v>1888</v>
      </c>
      <c r="CQ287" s="584" t="s">
        <v>2755</v>
      </c>
      <c r="CR287" s="584" t="s">
        <v>2755</v>
      </c>
      <c r="CS287" s="584" t="s">
        <v>2583</v>
      </c>
      <c r="CT287" s="584" t="s">
        <v>2584</v>
      </c>
      <c r="CU287" s="584" t="s">
        <v>2585</v>
      </c>
      <c r="CV287" s="585" t="s">
        <v>2586</v>
      </c>
    </row>
    <row r="288" spans="91:100" ht="25.5" x14ac:dyDescent="0.25">
      <c r="CM288" s="582"/>
      <c r="CN288" s="584" t="s">
        <v>2756</v>
      </c>
      <c r="CO288" s="584" t="s">
        <v>1908</v>
      </c>
      <c r="CP288" s="584" t="s">
        <v>1888</v>
      </c>
      <c r="CQ288" s="584" t="s">
        <v>2757</v>
      </c>
      <c r="CR288" s="584" t="s">
        <v>2757</v>
      </c>
      <c r="CS288" s="584" t="s">
        <v>2583</v>
      </c>
      <c r="CT288" s="584" t="s">
        <v>2584</v>
      </c>
      <c r="CU288" s="584" t="s">
        <v>2585</v>
      </c>
      <c r="CV288" s="585" t="s">
        <v>2586</v>
      </c>
    </row>
    <row r="289" spans="91:100" ht="25.5" x14ac:dyDescent="0.25">
      <c r="CM289" s="582"/>
      <c r="CN289" s="584" t="s">
        <v>2758</v>
      </c>
      <c r="CO289" s="584" t="s">
        <v>1908</v>
      </c>
      <c r="CP289" s="584" t="s">
        <v>1888</v>
      </c>
      <c r="CQ289" s="584" t="s">
        <v>2759</v>
      </c>
      <c r="CR289" s="584" t="s">
        <v>2759</v>
      </c>
      <c r="CS289" s="584" t="s">
        <v>2583</v>
      </c>
      <c r="CT289" s="584" t="s">
        <v>2584</v>
      </c>
      <c r="CU289" s="584" t="s">
        <v>2585</v>
      </c>
      <c r="CV289" s="585" t="s">
        <v>2586</v>
      </c>
    </row>
    <row r="290" spans="91:100" ht="25.5" x14ac:dyDescent="0.25">
      <c r="CM290" s="582"/>
      <c r="CN290" s="584" t="s">
        <v>2760</v>
      </c>
      <c r="CO290" s="584" t="s">
        <v>1908</v>
      </c>
      <c r="CP290" s="584" t="s">
        <v>1888</v>
      </c>
      <c r="CQ290" s="584" t="s">
        <v>2761</v>
      </c>
      <c r="CR290" s="584" t="s">
        <v>2761</v>
      </c>
      <c r="CS290" s="584" t="s">
        <v>2583</v>
      </c>
      <c r="CT290" s="584" t="s">
        <v>2584</v>
      </c>
      <c r="CU290" s="584" t="s">
        <v>2585</v>
      </c>
      <c r="CV290" s="585" t="s">
        <v>2586</v>
      </c>
    </row>
    <row r="291" spans="91:100" ht="25.5" x14ac:dyDescent="0.25">
      <c r="CM291" s="582"/>
      <c r="CN291" s="584" t="s">
        <v>2762</v>
      </c>
      <c r="CO291" s="584" t="s">
        <v>1908</v>
      </c>
      <c r="CP291" s="584" t="s">
        <v>1888</v>
      </c>
      <c r="CQ291" s="584" t="s">
        <v>2763</v>
      </c>
      <c r="CR291" s="584" t="s">
        <v>2763</v>
      </c>
      <c r="CS291" s="584" t="s">
        <v>2583</v>
      </c>
      <c r="CT291" s="584" t="s">
        <v>2584</v>
      </c>
      <c r="CU291" s="584" t="s">
        <v>2585</v>
      </c>
      <c r="CV291" s="585" t="s">
        <v>2586</v>
      </c>
    </row>
    <row r="292" spans="91:100" ht="25.5" x14ac:dyDescent="0.25">
      <c r="CM292" s="582"/>
      <c r="CN292" s="584" t="s">
        <v>2764</v>
      </c>
      <c r="CO292" s="584" t="s">
        <v>1908</v>
      </c>
      <c r="CP292" s="584" t="s">
        <v>1888</v>
      </c>
      <c r="CQ292" s="584" t="s">
        <v>2765</v>
      </c>
      <c r="CR292" s="584" t="s">
        <v>2765</v>
      </c>
      <c r="CS292" s="584" t="s">
        <v>2583</v>
      </c>
      <c r="CT292" s="584" t="s">
        <v>2584</v>
      </c>
      <c r="CU292" s="584" t="s">
        <v>2585</v>
      </c>
      <c r="CV292" s="585" t="s">
        <v>2586</v>
      </c>
    </row>
    <row r="293" spans="91:100" ht="25.5" x14ac:dyDescent="0.25">
      <c r="CM293" s="582"/>
      <c r="CN293" s="584" t="s">
        <v>2766</v>
      </c>
      <c r="CO293" s="584" t="s">
        <v>1908</v>
      </c>
      <c r="CP293" s="584" t="s">
        <v>1888</v>
      </c>
      <c r="CQ293" s="584" t="s">
        <v>2767</v>
      </c>
      <c r="CR293" s="584" t="s">
        <v>2767</v>
      </c>
      <c r="CS293" s="584" t="s">
        <v>2583</v>
      </c>
      <c r="CT293" s="584" t="s">
        <v>2584</v>
      </c>
      <c r="CU293" s="584" t="s">
        <v>2585</v>
      </c>
      <c r="CV293" s="585" t="s">
        <v>2586</v>
      </c>
    </row>
    <row r="294" spans="91:100" ht="25.5" x14ac:dyDescent="0.25">
      <c r="CM294" s="582"/>
      <c r="CN294" s="584" t="s">
        <v>2768</v>
      </c>
      <c r="CO294" s="584" t="s">
        <v>1908</v>
      </c>
      <c r="CP294" s="584" t="s">
        <v>1888</v>
      </c>
      <c r="CQ294" s="584" t="s">
        <v>2769</v>
      </c>
      <c r="CR294" s="584" t="s">
        <v>2769</v>
      </c>
      <c r="CS294" s="584" t="s">
        <v>2583</v>
      </c>
      <c r="CT294" s="584" t="s">
        <v>2584</v>
      </c>
      <c r="CU294" s="584" t="s">
        <v>2585</v>
      </c>
      <c r="CV294" s="585" t="s">
        <v>2586</v>
      </c>
    </row>
    <row r="295" spans="91:100" ht="25.5" x14ac:dyDescent="0.25">
      <c r="CM295" s="582"/>
      <c r="CN295" s="584" t="s">
        <v>2770</v>
      </c>
      <c r="CO295" s="584" t="s">
        <v>1908</v>
      </c>
      <c r="CP295" s="584" t="s">
        <v>1888</v>
      </c>
      <c r="CQ295" s="584" t="s">
        <v>2771</v>
      </c>
      <c r="CR295" s="584" t="s">
        <v>2771</v>
      </c>
      <c r="CS295" s="584" t="s">
        <v>2583</v>
      </c>
      <c r="CT295" s="584" t="s">
        <v>2584</v>
      </c>
      <c r="CU295" s="584" t="s">
        <v>2585</v>
      </c>
      <c r="CV295" s="585" t="s">
        <v>2586</v>
      </c>
    </row>
    <row r="296" spans="91:100" ht="25.5" x14ac:dyDescent="0.25">
      <c r="CM296" s="582"/>
      <c r="CN296" s="584" t="s">
        <v>2772</v>
      </c>
      <c r="CO296" s="584" t="s">
        <v>1908</v>
      </c>
      <c r="CP296" s="584" t="s">
        <v>1888</v>
      </c>
      <c r="CQ296" s="584" t="s">
        <v>2773</v>
      </c>
      <c r="CR296" s="584" t="s">
        <v>2773</v>
      </c>
      <c r="CS296" s="584" t="s">
        <v>2583</v>
      </c>
      <c r="CT296" s="584" t="s">
        <v>2584</v>
      </c>
      <c r="CU296" s="584" t="s">
        <v>2585</v>
      </c>
      <c r="CV296" s="585" t="s">
        <v>2586</v>
      </c>
    </row>
    <row r="297" spans="91:100" ht="25.5" x14ac:dyDescent="0.25">
      <c r="CM297" s="582"/>
      <c r="CN297" s="584" t="s">
        <v>2774</v>
      </c>
      <c r="CO297" s="584" t="s">
        <v>1908</v>
      </c>
      <c r="CP297" s="584" t="s">
        <v>1888</v>
      </c>
      <c r="CQ297" s="584" t="s">
        <v>2775</v>
      </c>
      <c r="CR297" s="584" t="s">
        <v>2775</v>
      </c>
      <c r="CS297" s="584" t="s">
        <v>2583</v>
      </c>
      <c r="CT297" s="584" t="s">
        <v>2584</v>
      </c>
      <c r="CU297" s="584" t="s">
        <v>2585</v>
      </c>
      <c r="CV297" s="585" t="s">
        <v>2586</v>
      </c>
    </row>
    <row r="298" spans="91:100" ht="25.5" x14ac:dyDescent="0.25">
      <c r="CM298" s="582"/>
      <c r="CN298" s="584" t="s">
        <v>2776</v>
      </c>
      <c r="CO298" s="584" t="s">
        <v>1908</v>
      </c>
      <c r="CP298" s="584" t="s">
        <v>1888</v>
      </c>
      <c r="CQ298" s="584" t="s">
        <v>2777</v>
      </c>
      <c r="CR298" s="584" t="s">
        <v>2777</v>
      </c>
      <c r="CS298" s="584" t="s">
        <v>2583</v>
      </c>
      <c r="CT298" s="584" t="s">
        <v>2584</v>
      </c>
      <c r="CU298" s="584" t="s">
        <v>2585</v>
      </c>
      <c r="CV298" s="585" t="s">
        <v>2586</v>
      </c>
    </row>
    <row r="299" spans="91:100" ht="25.5" x14ac:dyDescent="0.25">
      <c r="CM299" s="582"/>
      <c r="CN299" s="584" t="s">
        <v>2778</v>
      </c>
      <c r="CO299" s="584" t="s">
        <v>1908</v>
      </c>
      <c r="CP299" s="584" t="s">
        <v>1888</v>
      </c>
      <c r="CQ299" s="584" t="s">
        <v>2779</v>
      </c>
      <c r="CR299" s="584" t="s">
        <v>2779</v>
      </c>
      <c r="CS299" s="584" t="s">
        <v>2583</v>
      </c>
      <c r="CT299" s="584" t="s">
        <v>2584</v>
      </c>
      <c r="CU299" s="584" t="s">
        <v>2585</v>
      </c>
      <c r="CV299" s="585" t="s">
        <v>2586</v>
      </c>
    </row>
    <row r="300" spans="91:100" ht="25.5" x14ac:dyDescent="0.25">
      <c r="CM300" s="582"/>
      <c r="CN300" s="584" t="s">
        <v>2780</v>
      </c>
      <c r="CO300" s="584" t="s">
        <v>1908</v>
      </c>
      <c r="CP300" s="584" t="s">
        <v>1888</v>
      </c>
      <c r="CQ300" s="584" t="s">
        <v>2781</v>
      </c>
      <c r="CR300" s="584" t="s">
        <v>2781</v>
      </c>
      <c r="CS300" s="584" t="s">
        <v>2583</v>
      </c>
      <c r="CT300" s="584" t="s">
        <v>2584</v>
      </c>
      <c r="CU300" s="584" t="s">
        <v>2585</v>
      </c>
      <c r="CV300" s="585" t="s">
        <v>2586</v>
      </c>
    </row>
    <row r="301" spans="91:100" ht="25.5" x14ac:dyDescent="0.25">
      <c r="CM301" s="582"/>
      <c r="CN301" s="584" t="s">
        <v>2782</v>
      </c>
      <c r="CO301" s="584" t="s">
        <v>1908</v>
      </c>
      <c r="CP301" s="584" t="s">
        <v>1888</v>
      </c>
      <c r="CQ301" s="584" t="s">
        <v>2783</v>
      </c>
      <c r="CR301" s="584" t="s">
        <v>2783</v>
      </c>
      <c r="CS301" s="584" t="s">
        <v>2583</v>
      </c>
      <c r="CT301" s="584" t="s">
        <v>2584</v>
      </c>
      <c r="CU301" s="584" t="s">
        <v>2585</v>
      </c>
      <c r="CV301" s="585" t="s">
        <v>2586</v>
      </c>
    </row>
    <row r="302" spans="91:100" ht="25.5" x14ac:dyDescent="0.25">
      <c r="CM302" s="582"/>
      <c r="CN302" s="584" t="s">
        <v>2784</v>
      </c>
      <c r="CO302" s="584" t="s">
        <v>1908</v>
      </c>
      <c r="CP302" s="584" t="s">
        <v>1888</v>
      </c>
      <c r="CQ302" s="584" t="s">
        <v>2785</v>
      </c>
      <c r="CR302" s="584" t="s">
        <v>2785</v>
      </c>
      <c r="CS302" s="584" t="s">
        <v>2583</v>
      </c>
      <c r="CT302" s="584" t="s">
        <v>2584</v>
      </c>
      <c r="CU302" s="584" t="s">
        <v>2585</v>
      </c>
      <c r="CV302" s="585" t="s">
        <v>2586</v>
      </c>
    </row>
    <row r="303" spans="91:100" ht="25.5" x14ac:dyDescent="0.25">
      <c r="CM303" s="582"/>
      <c r="CN303" s="584" t="s">
        <v>2786</v>
      </c>
      <c r="CO303" s="584" t="s">
        <v>1908</v>
      </c>
      <c r="CP303" s="584" t="s">
        <v>1888</v>
      </c>
      <c r="CQ303" s="584" t="s">
        <v>2787</v>
      </c>
      <c r="CR303" s="584" t="s">
        <v>2787</v>
      </c>
      <c r="CS303" s="584" t="s">
        <v>2583</v>
      </c>
      <c r="CT303" s="584" t="s">
        <v>2584</v>
      </c>
      <c r="CU303" s="584" t="s">
        <v>2585</v>
      </c>
      <c r="CV303" s="585" t="s">
        <v>2586</v>
      </c>
    </row>
    <row r="304" spans="91:100" ht="25.5" x14ac:dyDescent="0.25">
      <c r="CM304" s="582"/>
      <c r="CN304" s="584" t="s">
        <v>2788</v>
      </c>
      <c r="CO304" s="584" t="s">
        <v>1908</v>
      </c>
      <c r="CP304" s="584" t="s">
        <v>1888</v>
      </c>
      <c r="CQ304" s="584" t="s">
        <v>2789</v>
      </c>
      <c r="CR304" s="584" t="s">
        <v>2789</v>
      </c>
      <c r="CS304" s="584" t="s">
        <v>2583</v>
      </c>
      <c r="CT304" s="584" t="s">
        <v>2584</v>
      </c>
      <c r="CU304" s="584" t="s">
        <v>2585</v>
      </c>
      <c r="CV304" s="585" t="s">
        <v>2586</v>
      </c>
    </row>
    <row r="305" spans="91:100" ht="25.5" x14ac:dyDescent="0.25">
      <c r="CM305" s="582"/>
      <c r="CN305" s="584" t="s">
        <v>2790</v>
      </c>
      <c r="CO305" s="584" t="s">
        <v>1908</v>
      </c>
      <c r="CP305" s="584" t="s">
        <v>1888</v>
      </c>
      <c r="CQ305" s="584" t="s">
        <v>2791</v>
      </c>
      <c r="CR305" s="584" t="s">
        <v>2791</v>
      </c>
      <c r="CS305" s="584" t="s">
        <v>2583</v>
      </c>
      <c r="CT305" s="584" t="s">
        <v>2584</v>
      </c>
      <c r="CU305" s="584" t="s">
        <v>2585</v>
      </c>
      <c r="CV305" s="585" t="s">
        <v>2586</v>
      </c>
    </row>
    <row r="306" spans="91:100" ht="25.5" x14ac:dyDescent="0.25">
      <c r="CM306" s="582"/>
      <c r="CN306" s="584" t="s">
        <v>2792</v>
      </c>
      <c r="CO306" s="584" t="s">
        <v>1908</v>
      </c>
      <c r="CP306" s="584" t="s">
        <v>1888</v>
      </c>
      <c r="CQ306" s="584" t="s">
        <v>2793</v>
      </c>
      <c r="CR306" s="584" t="s">
        <v>2793</v>
      </c>
      <c r="CS306" s="584" t="s">
        <v>2583</v>
      </c>
      <c r="CT306" s="584" t="s">
        <v>2584</v>
      </c>
      <c r="CU306" s="584" t="s">
        <v>2585</v>
      </c>
      <c r="CV306" s="585" t="s">
        <v>2586</v>
      </c>
    </row>
    <row r="307" spans="91:100" ht="25.5" x14ac:dyDescent="0.25">
      <c r="CM307" s="582"/>
      <c r="CN307" s="584" t="s">
        <v>2794</v>
      </c>
      <c r="CO307" s="584" t="s">
        <v>1908</v>
      </c>
      <c r="CP307" s="584" t="s">
        <v>1888</v>
      </c>
      <c r="CQ307" s="584" t="s">
        <v>2795</v>
      </c>
      <c r="CR307" s="584" t="s">
        <v>2795</v>
      </c>
      <c r="CS307" s="584" t="s">
        <v>2583</v>
      </c>
      <c r="CT307" s="584" t="s">
        <v>2584</v>
      </c>
      <c r="CU307" s="584" t="s">
        <v>2585</v>
      </c>
      <c r="CV307" s="585" t="s">
        <v>2586</v>
      </c>
    </row>
    <row r="308" spans="91:100" ht="25.5" x14ac:dyDescent="0.25">
      <c r="CM308" s="582"/>
      <c r="CN308" s="584" t="s">
        <v>2796</v>
      </c>
      <c r="CO308" s="584" t="s">
        <v>1908</v>
      </c>
      <c r="CP308" s="584" t="s">
        <v>1888</v>
      </c>
      <c r="CQ308" s="584" t="s">
        <v>2797</v>
      </c>
      <c r="CR308" s="584" t="s">
        <v>2797</v>
      </c>
      <c r="CS308" s="584" t="s">
        <v>2583</v>
      </c>
      <c r="CT308" s="584" t="s">
        <v>2584</v>
      </c>
      <c r="CU308" s="584" t="s">
        <v>2585</v>
      </c>
      <c r="CV308" s="585" t="s">
        <v>2586</v>
      </c>
    </row>
    <row r="309" spans="91:100" ht="25.5" x14ac:dyDescent="0.25">
      <c r="CM309" s="582"/>
      <c r="CN309" s="584" t="s">
        <v>2798</v>
      </c>
      <c r="CO309" s="584" t="s">
        <v>1908</v>
      </c>
      <c r="CP309" s="584" t="s">
        <v>1888</v>
      </c>
      <c r="CQ309" s="584" t="s">
        <v>2799</v>
      </c>
      <c r="CR309" s="584" t="s">
        <v>2799</v>
      </c>
      <c r="CS309" s="584" t="s">
        <v>2583</v>
      </c>
      <c r="CT309" s="584" t="s">
        <v>2584</v>
      </c>
      <c r="CU309" s="584" t="s">
        <v>2585</v>
      </c>
      <c r="CV309" s="585" t="s">
        <v>2586</v>
      </c>
    </row>
    <row r="310" spans="91:100" ht="25.5" x14ac:dyDescent="0.25">
      <c r="CM310" s="582"/>
      <c r="CN310" s="584" t="s">
        <v>2800</v>
      </c>
      <c r="CO310" s="584" t="s">
        <v>1908</v>
      </c>
      <c r="CP310" s="584" t="s">
        <v>1888</v>
      </c>
      <c r="CQ310" s="584" t="s">
        <v>2801</v>
      </c>
      <c r="CR310" s="584" t="s">
        <v>2801</v>
      </c>
      <c r="CS310" s="584" t="s">
        <v>2583</v>
      </c>
      <c r="CT310" s="584" t="s">
        <v>2584</v>
      </c>
      <c r="CU310" s="584" t="s">
        <v>2585</v>
      </c>
      <c r="CV310" s="585" t="s">
        <v>2586</v>
      </c>
    </row>
    <row r="311" spans="91:100" ht="25.5" x14ac:dyDescent="0.25">
      <c r="CM311" s="582"/>
      <c r="CN311" s="584" t="s">
        <v>2802</v>
      </c>
      <c r="CO311" s="584" t="s">
        <v>1908</v>
      </c>
      <c r="CP311" s="584" t="s">
        <v>1888</v>
      </c>
      <c r="CQ311" s="584" t="s">
        <v>2803</v>
      </c>
      <c r="CR311" s="584" t="s">
        <v>2803</v>
      </c>
      <c r="CS311" s="584" t="s">
        <v>2583</v>
      </c>
      <c r="CT311" s="584" t="s">
        <v>2584</v>
      </c>
      <c r="CU311" s="584" t="s">
        <v>2585</v>
      </c>
      <c r="CV311" s="585" t="s">
        <v>2586</v>
      </c>
    </row>
    <row r="312" spans="91:100" ht="25.5" x14ac:dyDescent="0.25">
      <c r="CM312" s="582"/>
      <c r="CN312" s="584" t="s">
        <v>2804</v>
      </c>
      <c r="CO312" s="584" t="s">
        <v>1908</v>
      </c>
      <c r="CP312" s="584" t="s">
        <v>1888</v>
      </c>
      <c r="CQ312" s="584" t="s">
        <v>2805</v>
      </c>
      <c r="CR312" s="584" t="s">
        <v>2805</v>
      </c>
      <c r="CS312" s="584" t="s">
        <v>2583</v>
      </c>
      <c r="CT312" s="584" t="s">
        <v>2584</v>
      </c>
      <c r="CU312" s="584" t="s">
        <v>2585</v>
      </c>
      <c r="CV312" s="585" t="s">
        <v>2586</v>
      </c>
    </row>
    <row r="313" spans="91:100" ht="25.5" x14ac:dyDescent="0.25">
      <c r="CM313" s="582"/>
      <c r="CN313" s="584" t="s">
        <v>2806</v>
      </c>
      <c r="CO313" s="584" t="s">
        <v>1908</v>
      </c>
      <c r="CP313" s="584" t="s">
        <v>1888</v>
      </c>
      <c r="CQ313" s="584" t="s">
        <v>2807</v>
      </c>
      <c r="CR313" s="584" t="s">
        <v>2807</v>
      </c>
      <c r="CS313" s="584" t="s">
        <v>2583</v>
      </c>
      <c r="CT313" s="584" t="s">
        <v>2584</v>
      </c>
      <c r="CU313" s="584" t="s">
        <v>2585</v>
      </c>
      <c r="CV313" s="585" t="s">
        <v>2586</v>
      </c>
    </row>
    <row r="314" spans="91:100" x14ac:dyDescent="0.25">
      <c r="CM314" s="582"/>
      <c r="CN314" s="584" t="s">
        <v>2808</v>
      </c>
      <c r="CO314" s="584" t="s">
        <v>1908</v>
      </c>
      <c r="CP314" s="584" t="s">
        <v>1888</v>
      </c>
      <c r="CQ314" s="584" t="s">
        <v>2809</v>
      </c>
      <c r="CR314" s="584" t="s">
        <v>2809</v>
      </c>
      <c r="CS314" s="584" t="s">
        <v>2583</v>
      </c>
      <c r="CT314" s="584" t="s">
        <v>2590</v>
      </c>
      <c r="CU314" s="584" t="s">
        <v>1892</v>
      </c>
      <c r="CV314" s="585" t="s">
        <v>1893</v>
      </c>
    </row>
    <row r="315" spans="91:100" ht="25.5" x14ac:dyDescent="0.25">
      <c r="CM315" s="582"/>
      <c r="CN315" s="584" t="s">
        <v>2810</v>
      </c>
      <c r="CO315" s="584" t="s">
        <v>1908</v>
      </c>
      <c r="CP315" s="584" t="s">
        <v>1888</v>
      </c>
      <c r="CQ315" s="584" t="s">
        <v>2811</v>
      </c>
      <c r="CR315" s="584" t="s">
        <v>2811</v>
      </c>
      <c r="CS315" s="584" t="s">
        <v>2583</v>
      </c>
      <c r="CT315" s="584" t="s">
        <v>2584</v>
      </c>
      <c r="CU315" s="584" t="s">
        <v>2585</v>
      </c>
      <c r="CV315" s="585" t="s">
        <v>2586</v>
      </c>
    </row>
    <row r="316" spans="91:100" ht="25.5" x14ac:dyDescent="0.25">
      <c r="CM316" s="582"/>
      <c r="CN316" s="584" t="s">
        <v>2812</v>
      </c>
      <c r="CO316" s="584" t="s">
        <v>1908</v>
      </c>
      <c r="CP316" s="584" t="s">
        <v>1888</v>
      </c>
      <c r="CQ316" s="584" t="s">
        <v>2813</v>
      </c>
      <c r="CR316" s="584" t="s">
        <v>2813</v>
      </c>
      <c r="CS316" s="584" t="s">
        <v>2583</v>
      </c>
      <c r="CT316" s="584" t="s">
        <v>2584</v>
      </c>
      <c r="CU316" s="584" t="s">
        <v>2585</v>
      </c>
      <c r="CV316" s="585" t="s">
        <v>2586</v>
      </c>
    </row>
    <row r="317" spans="91:100" ht="25.5" x14ac:dyDescent="0.25">
      <c r="CM317" s="582"/>
      <c r="CN317" s="584" t="s">
        <v>2814</v>
      </c>
      <c r="CO317" s="584" t="s">
        <v>1908</v>
      </c>
      <c r="CP317" s="584" t="s">
        <v>1888</v>
      </c>
      <c r="CQ317" s="584" t="s">
        <v>2815</v>
      </c>
      <c r="CR317" s="584" t="s">
        <v>2815</v>
      </c>
      <c r="CS317" s="584" t="s">
        <v>2583</v>
      </c>
      <c r="CT317" s="584" t="s">
        <v>2584</v>
      </c>
      <c r="CU317" s="584" t="s">
        <v>2585</v>
      </c>
      <c r="CV317" s="585" t="s">
        <v>2586</v>
      </c>
    </row>
    <row r="318" spans="91:100" ht="25.5" x14ac:dyDescent="0.25">
      <c r="CM318" s="582"/>
      <c r="CN318" s="584" t="s">
        <v>2816</v>
      </c>
      <c r="CO318" s="584" t="s">
        <v>1908</v>
      </c>
      <c r="CP318" s="584" t="s">
        <v>1888</v>
      </c>
      <c r="CQ318" s="584" t="s">
        <v>2817</v>
      </c>
      <c r="CR318" s="584" t="s">
        <v>2817</v>
      </c>
      <c r="CS318" s="584" t="s">
        <v>2583</v>
      </c>
      <c r="CT318" s="584" t="s">
        <v>2584</v>
      </c>
      <c r="CU318" s="584" t="s">
        <v>2585</v>
      </c>
      <c r="CV318" s="585" t="s">
        <v>2586</v>
      </c>
    </row>
    <row r="319" spans="91:100" x14ac:dyDescent="0.25">
      <c r="CM319" s="582"/>
      <c r="CN319" s="584" t="s">
        <v>2818</v>
      </c>
      <c r="CO319" s="584" t="s">
        <v>1908</v>
      </c>
      <c r="CP319" s="584" t="s">
        <v>1888</v>
      </c>
      <c r="CQ319" s="584" t="s">
        <v>2819</v>
      </c>
      <c r="CR319" s="584" t="s">
        <v>2819</v>
      </c>
      <c r="CS319" s="584" t="s">
        <v>2583</v>
      </c>
      <c r="CT319" s="584" t="s">
        <v>2590</v>
      </c>
      <c r="CU319" s="584" t="s">
        <v>1892</v>
      </c>
      <c r="CV319" s="585" t="s">
        <v>1893</v>
      </c>
    </row>
    <row r="320" spans="91:100" x14ac:dyDescent="0.25">
      <c r="CM320" s="582"/>
      <c r="CN320" s="584" t="s">
        <v>2820</v>
      </c>
      <c r="CO320" s="584" t="s">
        <v>1908</v>
      </c>
      <c r="CP320" s="584" t="s">
        <v>1888</v>
      </c>
      <c r="CQ320" s="584" t="s">
        <v>2821</v>
      </c>
      <c r="CR320" s="584" t="s">
        <v>2821</v>
      </c>
      <c r="CS320" s="584" t="s">
        <v>1978</v>
      </c>
      <c r="CT320" s="584" t="s">
        <v>1979</v>
      </c>
      <c r="CU320" s="584" t="s">
        <v>1892</v>
      </c>
      <c r="CV320" s="585" t="s">
        <v>1980</v>
      </c>
    </row>
    <row r="321" spans="91:100" x14ac:dyDescent="0.25">
      <c r="CM321" s="582"/>
      <c r="CN321" s="584" t="s">
        <v>2822</v>
      </c>
      <c r="CO321" s="584" t="s">
        <v>1908</v>
      </c>
      <c r="CP321" s="584" t="s">
        <v>1888</v>
      </c>
      <c r="CQ321" s="584" t="s">
        <v>2823</v>
      </c>
      <c r="CR321" s="584" t="s">
        <v>2823</v>
      </c>
      <c r="CS321" s="584" t="s">
        <v>1978</v>
      </c>
      <c r="CT321" s="584" t="s">
        <v>1979</v>
      </c>
      <c r="CU321" s="584" t="s">
        <v>1892</v>
      </c>
      <c r="CV321" s="585" t="s">
        <v>1980</v>
      </c>
    </row>
    <row r="322" spans="91:100" ht="25.5" x14ac:dyDescent="0.25">
      <c r="CM322" s="582"/>
      <c r="CN322" s="584" t="s">
        <v>2824</v>
      </c>
      <c r="CO322" s="584" t="s">
        <v>1908</v>
      </c>
      <c r="CP322" s="584" t="s">
        <v>1888</v>
      </c>
      <c r="CQ322" s="584" t="s">
        <v>2825</v>
      </c>
      <c r="CR322" s="584" t="s">
        <v>2825</v>
      </c>
      <c r="CS322" s="584" t="s">
        <v>2583</v>
      </c>
      <c r="CT322" s="584" t="s">
        <v>2584</v>
      </c>
      <c r="CU322" s="584" t="s">
        <v>2585</v>
      </c>
      <c r="CV322" s="585" t="s">
        <v>2586</v>
      </c>
    </row>
    <row r="323" spans="91:100" ht="25.5" x14ac:dyDescent="0.25">
      <c r="CM323" s="582"/>
      <c r="CN323" s="584" t="s">
        <v>2826</v>
      </c>
      <c r="CO323" s="584" t="s">
        <v>1908</v>
      </c>
      <c r="CP323" s="584" t="s">
        <v>1888</v>
      </c>
      <c r="CQ323" s="584" t="s">
        <v>2827</v>
      </c>
      <c r="CR323" s="584" t="s">
        <v>2827</v>
      </c>
      <c r="CS323" s="584" t="s">
        <v>2583</v>
      </c>
      <c r="CT323" s="584" t="s">
        <v>2584</v>
      </c>
      <c r="CU323" s="584" t="s">
        <v>2585</v>
      </c>
      <c r="CV323" s="585" t="s">
        <v>2586</v>
      </c>
    </row>
    <row r="324" spans="91:100" ht="25.5" x14ac:dyDescent="0.25">
      <c r="CM324" s="582"/>
      <c r="CN324" s="584" t="s">
        <v>2828</v>
      </c>
      <c r="CO324" s="584" t="s">
        <v>1908</v>
      </c>
      <c r="CP324" s="584" t="s">
        <v>1888</v>
      </c>
      <c r="CQ324" s="584" t="s">
        <v>2829</v>
      </c>
      <c r="CR324" s="584" t="s">
        <v>2829</v>
      </c>
      <c r="CS324" s="584" t="s">
        <v>2583</v>
      </c>
      <c r="CT324" s="584" t="s">
        <v>2584</v>
      </c>
      <c r="CU324" s="584" t="s">
        <v>2585</v>
      </c>
      <c r="CV324" s="585" t="s">
        <v>2586</v>
      </c>
    </row>
    <row r="325" spans="91:100" x14ac:dyDescent="0.25">
      <c r="CM325" s="582"/>
      <c r="CN325" s="584" t="s">
        <v>2830</v>
      </c>
      <c r="CO325" s="584" t="s">
        <v>1908</v>
      </c>
      <c r="CP325" s="584" t="s">
        <v>1888</v>
      </c>
      <c r="CQ325" s="584" t="s">
        <v>2831</v>
      </c>
      <c r="CR325" s="584" t="s">
        <v>2832</v>
      </c>
      <c r="CS325" s="584" t="s">
        <v>2583</v>
      </c>
      <c r="CT325" s="584" t="s">
        <v>2590</v>
      </c>
      <c r="CU325" s="584" t="s">
        <v>1892</v>
      </c>
      <c r="CV325" s="585" t="s">
        <v>1893</v>
      </c>
    </row>
    <row r="326" spans="91:100" ht="25.5" x14ac:dyDescent="0.25">
      <c r="CM326" s="582"/>
      <c r="CN326" s="584" t="s">
        <v>2833</v>
      </c>
      <c r="CO326" s="584" t="s">
        <v>1908</v>
      </c>
      <c r="CP326" s="584" t="s">
        <v>1888</v>
      </c>
      <c r="CQ326" s="584" t="s">
        <v>2834</v>
      </c>
      <c r="CR326" s="584" t="s">
        <v>2834</v>
      </c>
      <c r="CS326" s="584" t="s">
        <v>2583</v>
      </c>
      <c r="CT326" s="584" t="s">
        <v>2584</v>
      </c>
      <c r="CU326" s="584" t="s">
        <v>2585</v>
      </c>
      <c r="CV326" s="585" t="s">
        <v>2586</v>
      </c>
    </row>
    <row r="327" spans="91:100" ht="25.5" x14ac:dyDescent="0.25">
      <c r="CM327" s="582"/>
      <c r="CN327" s="584" t="s">
        <v>2835</v>
      </c>
      <c r="CO327" s="584" t="s">
        <v>1908</v>
      </c>
      <c r="CP327" s="584" t="s">
        <v>1888</v>
      </c>
      <c r="CQ327" s="584" t="s">
        <v>2836</v>
      </c>
      <c r="CR327" s="584" t="s">
        <v>2836</v>
      </c>
      <c r="CS327" s="584" t="s">
        <v>2583</v>
      </c>
      <c r="CT327" s="584" t="s">
        <v>2584</v>
      </c>
      <c r="CU327" s="584" t="s">
        <v>2585</v>
      </c>
      <c r="CV327" s="585" t="s">
        <v>2586</v>
      </c>
    </row>
    <row r="328" spans="91:100" x14ac:dyDescent="0.25">
      <c r="CM328" s="582"/>
      <c r="CN328" s="584" t="s">
        <v>2837</v>
      </c>
      <c r="CO328" s="584" t="s">
        <v>1908</v>
      </c>
      <c r="CP328" s="584" t="s">
        <v>1888</v>
      </c>
      <c r="CQ328" s="584" t="s">
        <v>2838</v>
      </c>
      <c r="CR328" s="584" t="s">
        <v>2838</v>
      </c>
      <c r="CS328" s="584" t="s">
        <v>2583</v>
      </c>
      <c r="CT328" s="584" t="s">
        <v>2590</v>
      </c>
      <c r="CU328" s="584" t="s">
        <v>1892</v>
      </c>
      <c r="CV328" s="585" t="s">
        <v>1893</v>
      </c>
    </row>
    <row r="329" spans="91:100" x14ac:dyDescent="0.25">
      <c r="CM329" s="582"/>
      <c r="CN329" s="584" t="s">
        <v>2839</v>
      </c>
      <c r="CO329" s="584" t="s">
        <v>1908</v>
      </c>
      <c r="CP329" s="584" t="s">
        <v>1888</v>
      </c>
      <c r="CQ329" s="584" t="s">
        <v>2840</v>
      </c>
      <c r="CR329" s="584" t="s">
        <v>2840</v>
      </c>
      <c r="CS329" s="584" t="s">
        <v>1978</v>
      </c>
      <c r="CT329" s="584" t="s">
        <v>1979</v>
      </c>
      <c r="CU329" s="584" t="s">
        <v>1892</v>
      </c>
      <c r="CV329" s="585" t="s">
        <v>1980</v>
      </c>
    </row>
    <row r="330" spans="91:100" x14ac:dyDescent="0.25">
      <c r="CM330" s="582"/>
      <c r="CN330" s="584" t="s">
        <v>2841</v>
      </c>
      <c r="CO330" s="584" t="s">
        <v>1908</v>
      </c>
      <c r="CP330" s="584" t="s">
        <v>1888</v>
      </c>
      <c r="CQ330" s="584" t="s">
        <v>2842</v>
      </c>
      <c r="CR330" s="584" t="s">
        <v>2842</v>
      </c>
      <c r="CS330" s="584" t="s">
        <v>1978</v>
      </c>
      <c r="CT330" s="584" t="s">
        <v>1979</v>
      </c>
      <c r="CU330" s="584" t="s">
        <v>1892</v>
      </c>
      <c r="CV330" s="585" t="s">
        <v>1980</v>
      </c>
    </row>
    <row r="331" spans="91:100" x14ac:dyDescent="0.25">
      <c r="CM331" s="582"/>
      <c r="CN331" s="584" t="s">
        <v>2843</v>
      </c>
      <c r="CO331" s="584" t="s">
        <v>1908</v>
      </c>
      <c r="CP331" s="584" t="s">
        <v>1888</v>
      </c>
      <c r="CQ331" s="584" t="s">
        <v>2844</v>
      </c>
      <c r="CR331" s="584" t="s">
        <v>2845</v>
      </c>
      <c r="CS331" s="584" t="s">
        <v>2583</v>
      </c>
      <c r="CT331" s="584" t="s">
        <v>2590</v>
      </c>
      <c r="CU331" s="584" t="s">
        <v>1892</v>
      </c>
      <c r="CV331" s="585" t="s">
        <v>1893</v>
      </c>
    </row>
    <row r="332" spans="91:100" x14ac:dyDescent="0.25">
      <c r="CM332" s="582"/>
      <c r="CN332" s="584" t="s">
        <v>2846</v>
      </c>
      <c r="CO332" s="584" t="s">
        <v>1908</v>
      </c>
      <c r="CP332" s="584" t="s">
        <v>1888</v>
      </c>
      <c r="CQ332" s="584" t="s">
        <v>2847</v>
      </c>
      <c r="CR332" s="584" t="s">
        <v>2847</v>
      </c>
      <c r="CS332" s="584" t="s">
        <v>2583</v>
      </c>
      <c r="CT332" s="584" t="s">
        <v>2590</v>
      </c>
      <c r="CU332" s="584" t="s">
        <v>1892</v>
      </c>
      <c r="CV332" s="585" t="s">
        <v>1893</v>
      </c>
    </row>
    <row r="333" spans="91:100" x14ac:dyDescent="0.25">
      <c r="CM333" s="582"/>
      <c r="CN333" s="584" t="s">
        <v>2848</v>
      </c>
      <c r="CO333" s="584" t="s">
        <v>1908</v>
      </c>
      <c r="CP333" s="584" t="s">
        <v>1888</v>
      </c>
      <c r="CQ333" s="584" t="s">
        <v>2849</v>
      </c>
      <c r="CR333" s="584" t="s">
        <v>2849</v>
      </c>
      <c r="CS333" s="584" t="s">
        <v>2583</v>
      </c>
      <c r="CT333" s="584" t="s">
        <v>2590</v>
      </c>
      <c r="CU333" s="584" t="s">
        <v>1892</v>
      </c>
      <c r="CV333" s="585" t="s">
        <v>1893</v>
      </c>
    </row>
    <row r="334" spans="91:100" x14ac:dyDescent="0.25">
      <c r="CM334" s="582"/>
      <c r="CN334" s="584" t="s">
        <v>2850</v>
      </c>
      <c r="CO334" s="584" t="s">
        <v>1908</v>
      </c>
      <c r="CP334" s="584" t="s">
        <v>1888</v>
      </c>
      <c r="CQ334" s="584" t="s">
        <v>2851</v>
      </c>
      <c r="CR334" s="584" t="s">
        <v>2851</v>
      </c>
      <c r="CS334" s="584" t="s">
        <v>1978</v>
      </c>
      <c r="CT334" s="584" t="s">
        <v>1979</v>
      </c>
      <c r="CU334" s="584" t="s">
        <v>1892</v>
      </c>
      <c r="CV334" s="585" t="s">
        <v>1980</v>
      </c>
    </row>
    <row r="335" spans="91:100" x14ac:dyDescent="0.25">
      <c r="CM335" s="582"/>
      <c r="CN335" s="584" t="s">
        <v>2852</v>
      </c>
      <c r="CO335" s="584" t="s">
        <v>1908</v>
      </c>
      <c r="CP335" s="584" t="s">
        <v>1888</v>
      </c>
      <c r="CQ335" s="584" t="s">
        <v>2853</v>
      </c>
      <c r="CR335" s="584" t="s">
        <v>2853</v>
      </c>
      <c r="CS335" s="584" t="s">
        <v>2583</v>
      </c>
      <c r="CT335" s="584" t="s">
        <v>2590</v>
      </c>
      <c r="CU335" s="584" t="s">
        <v>1892</v>
      </c>
      <c r="CV335" s="585" t="s">
        <v>1893</v>
      </c>
    </row>
    <row r="336" spans="91:100" x14ac:dyDescent="0.25">
      <c r="CM336" s="582"/>
      <c r="CN336" s="584" t="s">
        <v>2854</v>
      </c>
      <c r="CO336" s="584" t="s">
        <v>1908</v>
      </c>
      <c r="CP336" s="584" t="s">
        <v>1888</v>
      </c>
      <c r="CQ336" s="584" t="s">
        <v>2855</v>
      </c>
      <c r="CR336" s="584" t="s">
        <v>2855</v>
      </c>
      <c r="CS336" s="584" t="s">
        <v>1978</v>
      </c>
      <c r="CT336" s="584" t="s">
        <v>1979</v>
      </c>
      <c r="CU336" s="584" t="s">
        <v>1892</v>
      </c>
      <c r="CV336" s="585" t="s">
        <v>1980</v>
      </c>
    </row>
    <row r="337" spans="91:100" ht="25.5" x14ac:dyDescent="0.25">
      <c r="CM337" s="582"/>
      <c r="CN337" s="584" t="s">
        <v>2856</v>
      </c>
      <c r="CO337" s="584" t="s">
        <v>1908</v>
      </c>
      <c r="CP337" s="584" t="s">
        <v>1888</v>
      </c>
      <c r="CQ337" s="584" t="s">
        <v>2857</v>
      </c>
      <c r="CR337" s="584" t="s">
        <v>2857</v>
      </c>
      <c r="CS337" s="584" t="s">
        <v>2583</v>
      </c>
      <c r="CT337" s="584" t="s">
        <v>2584</v>
      </c>
      <c r="CU337" s="584" t="s">
        <v>2585</v>
      </c>
      <c r="CV337" s="585" t="s">
        <v>2586</v>
      </c>
    </row>
    <row r="338" spans="91:100" x14ac:dyDescent="0.25">
      <c r="CM338" s="582"/>
      <c r="CN338" s="584" t="s">
        <v>2858</v>
      </c>
      <c r="CO338" s="584" t="s">
        <v>1908</v>
      </c>
      <c r="CP338" s="584" t="s">
        <v>1888</v>
      </c>
      <c r="CQ338" s="584" t="s">
        <v>2859</v>
      </c>
      <c r="CR338" s="584" t="s">
        <v>2859</v>
      </c>
      <c r="CS338" s="584" t="s">
        <v>2583</v>
      </c>
      <c r="CT338" s="584" t="s">
        <v>2590</v>
      </c>
      <c r="CU338" s="584" t="s">
        <v>1892</v>
      </c>
      <c r="CV338" s="585" t="s">
        <v>1893</v>
      </c>
    </row>
    <row r="339" spans="91:100" ht="25.5" x14ac:dyDescent="0.25">
      <c r="CM339" s="582"/>
      <c r="CN339" s="584" t="s">
        <v>2860</v>
      </c>
      <c r="CO339" s="584" t="s">
        <v>1908</v>
      </c>
      <c r="CP339" s="584" t="s">
        <v>1888</v>
      </c>
      <c r="CQ339" s="584" t="s">
        <v>2861</v>
      </c>
      <c r="CR339" s="584" t="s">
        <v>2861</v>
      </c>
      <c r="CS339" s="584" t="s">
        <v>2583</v>
      </c>
      <c r="CT339" s="584" t="s">
        <v>2584</v>
      </c>
      <c r="CU339" s="584" t="s">
        <v>2585</v>
      </c>
      <c r="CV339" s="585" t="s">
        <v>2586</v>
      </c>
    </row>
    <row r="340" spans="91:100" x14ac:dyDescent="0.25">
      <c r="CM340" s="582"/>
      <c r="CN340" s="584" t="s">
        <v>2862</v>
      </c>
      <c r="CO340" s="584" t="s">
        <v>1908</v>
      </c>
      <c r="CP340" s="584" t="s">
        <v>1888</v>
      </c>
      <c r="CQ340" s="584" t="s">
        <v>2863</v>
      </c>
      <c r="CR340" s="584" t="s">
        <v>2863</v>
      </c>
      <c r="CS340" s="584" t="s">
        <v>2583</v>
      </c>
      <c r="CT340" s="584" t="s">
        <v>2590</v>
      </c>
      <c r="CU340" s="584" t="s">
        <v>1892</v>
      </c>
      <c r="CV340" s="585" t="s">
        <v>1893</v>
      </c>
    </row>
    <row r="341" spans="91:100" x14ac:dyDescent="0.25">
      <c r="CM341" s="582"/>
      <c r="CN341" s="584" t="s">
        <v>2864</v>
      </c>
      <c r="CO341" s="584" t="s">
        <v>1909</v>
      </c>
      <c r="CP341" s="584" t="s">
        <v>1888</v>
      </c>
      <c r="CQ341" s="584" t="s">
        <v>2865</v>
      </c>
      <c r="CR341" s="584" t="s">
        <v>2866</v>
      </c>
      <c r="CS341" s="584" t="s">
        <v>1890</v>
      </c>
      <c r="CT341" s="584" t="s">
        <v>2867</v>
      </c>
      <c r="CU341" s="584" t="s">
        <v>1892</v>
      </c>
      <c r="CV341" s="585" t="s">
        <v>1893</v>
      </c>
    </row>
    <row r="342" spans="91:100" x14ac:dyDescent="0.25">
      <c r="CM342" s="582"/>
      <c r="CN342" s="584" t="s">
        <v>2868</v>
      </c>
      <c r="CO342" s="584" t="s">
        <v>1909</v>
      </c>
      <c r="CP342" s="584" t="s">
        <v>1888</v>
      </c>
      <c r="CQ342" s="584" t="s">
        <v>2869</v>
      </c>
      <c r="CR342" s="584" t="s">
        <v>2869</v>
      </c>
      <c r="CS342" s="584" t="s">
        <v>1890</v>
      </c>
      <c r="CT342" s="584" t="s">
        <v>2867</v>
      </c>
      <c r="CU342" s="584" t="s">
        <v>1892</v>
      </c>
      <c r="CV342" s="585" t="s">
        <v>1893</v>
      </c>
    </row>
    <row r="343" spans="91:100" x14ac:dyDescent="0.25">
      <c r="CM343" s="582"/>
      <c r="CN343" s="584" t="s">
        <v>2870</v>
      </c>
      <c r="CO343" s="584" t="s">
        <v>1909</v>
      </c>
      <c r="CP343" s="584" t="s">
        <v>1888</v>
      </c>
      <c r="CQ343" s="584" t="s">
        <v>2871</v>
      </c>
      <c r="CR343" s="584" t="s">
        <v>2872</v>
      </c>
      <c r="CS343" s="584" t="s">
        <v>1890</v>
      </c>
      <c r="CT343" s="584" t="s">
        <v>2867</v>
      </c>
      <c r="CU343" s="584" t="s">
        <v>1892</v>
      </c>
      <c r="CV343" s="585" t="s">
        <v>1893</v>
      </c>
    </row>
    <row r="344" spans="91:100" x14ac:dyDescent="0.25">
      <c r="CM344" s="582"/>
      <c r="CN344" s="584" t="s">
        <v>2873</v>
      </c>
      <c r="CO344" s="584" t="s">
        <v>1909</v>
      </c>
      <c r="CP344" s="584" t="s">
        <v>1888</v>
      </c>
      <c r="CQ344" s="584" t="s">
        <v>2874</v>
      </c>
      <c r="CR344" s="584" t="s">
        <v>2875</v>
      </c>
      <c r="CS344" s="584" t="s">
        <v>1890</v>
      </c>
      <c r="CT344" s="584" t="s">
        <v>2867</v>
      </c>
      <c r="CU344" s="584" t="s">
        <v>1892</v>
      </c>
      <c r="CV344" s="585" t="s">
        <v>1893</v>
      </c>
    </row>
    <row r="345" spans="91:100" x14ac:dyDescent="0.25">
      <c r="CM345" s="582"/>
      <c r="CN345" s="584" t="s">
        <v>2876</v>
      </c>
      <c r="CO345" s="584" t="s">
        <v>1909</v>
      </c>
      <c r="CP345" s="584" t="s">
        <v>1888</v>
      </c>
      <c r="CQ345" s="584" t="s">
        <v>2877</v>
      </c>
      <c r="CR345" s="584" t="s">
        <v>2878</v>
      </c>
      <c r="CS345" s="584" t="s">
        <v>1890</v>
      </c>
      <c r="CT345" s="584" t="s">
        <v>2867</v>
      </c>
      <c r="CU345" s="584" t="s">
        <v>1892</v>
      </c>
      <c r="CV345" s="585" t="s">
        <v>1893</v>
      </c>
    </row>
    <row r="346" spans="91:100" x14ac:dyDescent="0.25">
      <c r="CM346" s="582"/>
      <c r="CN346" s="584" t="s">
        <v>2879</v>
      </c>
      <c r="CO346" s="584" t="s">
        <v>1909</v>
      </c>
      <c r="CP346" s="584" t="s">
        <v>1888</v>
      </c>
      <c r="CQ346" s="584" t="s">
        <v>2880</v>
      </c>
      <c r="CR346" s="584" t="s">
        <v>2881</v>
      </c>
      <c r="CS346" s="584" t="s">
        <v>1890</v>
      </c>
      <c r="CT346" s="584" t="s">
        <v>2867</v>
      </c>
      <c r="CU346" s="584" t="s">
        <v>1892</v>
      </c>
      <c r="CV346" s="585" t="s">
        <v>1893</v>
      </c>
    </row>
    <row r="347" spans="91:100" x14ac:dyDescent="0.25">
      <c r="CM347" s="582"/>
      <c r="CN347" s="584" t="s">
        <v>2882</v>
      </c>
      <c r="CO347" s="584" t="s">
        <v>1909</v>
      </c>
      <c r="CP347" s="584" t="s">
        <v>1888</v>
      </c>
      <c r="CQ347" s="584" t="s">
        <v>2883</v>
      </c>
      <c r="CR347" s="584" t="s">
        <v>2883</v>
      </c>
      <c r="CS347" s="584" t="s">
        <v>1890</v>
      </c>
      <c r="CT347" s="584" t="s">
        <v>2867</v>
      </c>
      <c r="CU347" s="584" t="s">
        <v>1892</v>
      </c>
      <c r="CV347" s="585" t="s">
        <v>1893</v>
      </c>
    </row>
    <row r="348" spans="91:100" x14ac:dyDescent="0.25">
      <c r="CM348" s="582"/>
      <c r="CN348" s="584" t="s">
        <v>2884</v>
      </c>
      <c r="CO348" s="584" t="s">
        <v>1909</v>
      </c>
      <c r="CP348" s="584" t="s">
        <v>1888</v>
      </c>
      <c r="CQ348" s="584" t="s">
        <v>2885</v>
      </c>
      <c r="CR348" s="584" t="s">
        <v>2885</v>
      </c>
      <c r="CS348" s="584" t="s">
        <v>1890</v>
      </c>
      <c r="CT348" s="584" t="s">
        <v>2867</v>
      </c>
      <c r="CU348" s="584" t="s">
        <v>1892</v>
      </c>
      <c r="CV348" s="585" t="s">
        <v>1893</v>
      </c>
    </row>
    <row r="349" spans="91:100" x14ac:dyDescent="0.25">
      <c r="CM349" s="582"/>
      <c r="CN349" s="584" t="s">
        <v>2886</v>
      </c>
      <c r="CO349" s="584" t="s">
        <v>1909</v>
      </c>
      <c r="CP349" s="584" t="s">
        <v>1888</v>
      </c>
      <c r="CQ349" s="584" t="s">
        <v>2887</v>
      </c>
      <c r="CR349" s="584" t="s">
        <v>2887</v>
      </c>
      <c r="CS349" s="584" t="s">
        <v>1890</v>
      </c>
      <c r="CT349" s="584" t="s">
        <v>2867</v>
      </c>
      <c r="CU349" s="584" t="s">
        <v>1892</v>
      </c>
      <c r="CV349" s="585" t="s">
        <v>1893</v>
      </c>
    </row>
    <row r="350" spans="91:100" x14ac:dyDescent="0.25">
      <c r="CM350" s="582"/>
      <c r="CN350" s="584" t="s">
        <v>2888</v>
      </c>
      <c r="CO350" s="584" t="s">
        <v>1909</v>
      </c>
      <c r="CP350" s="584" t="s">
        <v>1888</v>
      </c>
      <c r="CQ350" s="584" t="s">
        <v>2889</v>
      </c>
      <c r="CR350" s="584" t="s">
        <v>2890</v>
      </c>
      <c r="CS350" s="584" t="s">
        <v>1890</v>
      </c>
      <c r="CT350" s="584" t="s">
        <v>2867</v>
      </c>
      <c r="CU350" s="584" t="s">
        <v>1892</v>
      </c>
      <c r="CV350" s="585" t="s">
        <v>1893</v>
      </c>
    </row>
    <row r="351" spans="91:100" x14ac:dyDescent="0.25">
      <c r="CM351" s="582"/>
      <c r="CN351" s="584" t="s">
        <v>2891</v>
      </c>
      <c r="CO351" s="584" t="s">
        <v>1909</v>
      </c>
      <c r="CP351" s="584" t="s">
        <v>1888</v>
      </c>
      <c r="CQ351" s="584" t="s">
        <v>2892</v>
      </c>
      <c r="CR351" s="584" t="s">
        <v>2893</v>
      </c>
      <c r="CS351" s="584" t="s">
        <v>1890</v>
      </c>
      <c r="CT351" s="584" t="s">
        <v>2867</v>
      </c>
      <c r="CU351" s="584" t="s">
        <v>1892</v>
      </c>
      <c r="CV351" s="585" t="s">
        <v>1893</v>
      </c>
    </row>
    <row r="352" spans="91:100" x14ac:dyDescent="0.25">
      <c r="CM352" s="582"/>
      <c r="CN352" s="584" t="s">
        <v>2894</v>
      </c>
      <c r="CO352" s="584" t="s">
        <v>1909</v>
      </c>
      <c r="CP352" s="584" t="s">
        <v>1888</v>
      </c>
      <c r="CQ352" s="584" t="s">
        <v>2895</v>
      </c>
      <c r="CR352" s="584" t="s">
        <v>2896</v>
      </c>
      <c r="CS352" s="584" t="s">
        <v>1890</v>
      </c>
      <c r="CT352" s="584" t="s">
        <v>2867</v>
      </c>
      <c r="CU352" s="584" t="s">
        <v>1892</v>
      </c>
      <c r="CV352" s="585" t="s">
        <v>1893</v>
      </c>
    </row>
    <row r="353" spans="91:100" x14ac:dyDescent="0.25">
      <c r="CM353" s="582"/>
      <c r="CN353" s="584" t="s">
        <v>2897</v>
      </c>
      <c r="CO353" s="584" t="s">
        <v>1909</v>
      </c>
      <c r="CP353" s="584" t="s">
        <v>1888</v>
      </c>
      <c r="CQ353" s="584" t="s">
        <v>2898</v>
      </c>
      <c r="CR353" s="584" t="s">
        <v>2899</v>
      </c>
      <c r="CS353" s="584" t="s">
        <v>1890</v>
      </c>
      <c r="CT353" s="584" t="s">
        <v>2867</v>
      </c>
      <c r="CU353" s="584" t="s">
        <v>1892</v>
      </c>
      <c r="CV353" s="585" t="s">
        <v>1893</v>
      </c>
    </row>
    <row r="354" spans="91:100" x14ac:dyDescent="0.25">
      <c r="CM354" s="582"/>
      <c r="CN354" s="584" t="s">
        <v>2900</v>
      </c>
      <c r="CO354" s="584" t="s">
        <v>1909</v>
      </c>
      <c r="CP354" s="584" t="s">
        <v>1888</v>
      </c>
      <c r="CQ354" s="584" t="s">
        <v>2901</v>
      </c>
      <c r="CR354" s="584" t="s">
        <v>2902</v>
      </c>
      <c r="CS354" s="584" t="s">
        <v>1890</v>
      </c>
      <c r="CT354" s="584" t="s">
        <v>2867</v>
      </c>
      <c r="CU354" s="584" t="s">
        <v>1892</v>
      </c>
      <c r="CV354" s="585" t="s">
        <v>1893</v>
      </c>
    </row>
    <row r="355" spans="91:100" x14ac:dyDescent="0.25">
      <c r="CM355" s="582"/>
      <c r="CN355" s="584" t="s">
        <v>2903</v>
      </c>
      <c r="CO355" s="584" t="s">
        <v>1909</v>
      </c>
      <c r="CP355" s="584" t="s">
        <v>1888</v>
      </c>
      <c r="CQ355" s="584" t="s">
        <v>2904</v>
      </c>
      <c r="CR355" s="584" t="s">
        <v>2905</v>
      </c>
      <c r="CS355" s="584" t="s">
        <v>1890</v>
      </c>
      <c r="CT355" s="584" t="s">
        <v>2867</v>
      </c>
      <c r="CU355" s="584" t="s">
        <v>1892</v>
      </c>
      <c r="CV355" s="585" t="s">
        <v>1893</v>
      </c>
    </row>
    <row r="356" spans="91:100" x14ac:dyDescent="0.25">
      <c r="CM356" s="582"/>
      <c r="CN356" s="584" t="s">
        <v>2906</v>
      </c>
      <c r="CO356" s="584" t="s">
        <v>1909</v>
      </c>
      <c r="CP356" s="584" t="s">
        <v>1888</v>
      </c>
      <c r="CQ356" s="584" t="s">
        <v>2907</v>
      </c>
      <c r="CR356" s="584" t="s">
        <v>2908</v>
      </c>
      <c r="CS356" s="584" t="s">
        <v>1890</v>
      </c>
      <c r="CT356" s="584" t="s">
        <v>2867</v>
      </c>
      <c r="CU356" s="584" t="s">
        <v>1892</v>
      </c>
      <c r="CV356" s="585" t="s">
        <v>1893</v>
      </c>
    </row>
    <row r="357" spans="91:100" x14ac:dyDescent="0.25">
      <c r="CM357" s="582"/>
      <c r="CN357" s="584" t="s">
        <v>2909</v>
      </c>
      <c r="CO357" s="584" t="s">
        <v>1909</v>
      </c>
      <c r="CP357" s="584" t="s">
        <v>1888</v>
      </c>
      <c r="CQ357" s="584" t="s">
        <v>2910</v>
      </c>
      <c r="CR357" s="584" t="s">
        <v>2910</v>
      </c>
      <c r="CS357" s="584" t="s">
        <v>1978</v>
      </c>
      <c r="CT357" s="584" t="s">
        <v>1979</v>
      </c>
      <c r="CU357" s="584" t="s">
        <v>1892</v>
      </c>
      <c r="CV357" s="585" t="s">
        <v>1980</v>
      </c>
    </row>
    <row r="358" spans="91:100" x14ac:dyDescent="0.25">
      <c r="CM358" s="582"/>
      <c r="CN358" s="584" t="s">
        <v>2911</v>
      </c>
      <c r="CO358" s="584" t="s">
        <v>1909</v>
      </c>
      <c r="CP358" s="584" t="s">
        <v>1888</v>
      </c>
      <c r="CQ358" s="584" t="s">
        <v>2912</v>
      </c>
      <c r="CR358" s="584" t="s">
        <v>2912</v>
      </c>
      <c r="CS358" s="584" t="s">
        <v>1978</v>
      </c>
      <c r="CT358" s="584" t="s">
        <v>1979</v>
      </c>
      <c r="CU358" s="584" t="s">
        <v>1892</v>
      </c>
      <c r="CV358" s="585" t="s">
        <v>1980</v>
      </c>
    </row>
    <row r="359" spans="91:100" x14ac:dyDescent="0.25">
      <c r="CM359" s="582"/>
      <c r="CN359" s="584" t="s">
        <v>2913</v>
      </c>
      <c r="CO359" s="584" t="s">
        <v>1909</v>
      </c>
      <c r="CP359" s="584" t="s">
        <v>1888</v>
      </c>
      <c r="CQ359" s="584" t="s">
        <v>2914</v>
      </c>
      <c r="CR359" s="584" t="s">
        <v>2914</v>
      </c>
      <c r="CS359" s="584" t="s">
        <v>1978</v>
      </c>
      <c r="CT359" s="584" t="s">
        <v>1979</v>
      </c>
      <c r="CU359" s="584" t="s">
        <v>1892</v>
      </c>
      <c r="CV359" s="585" t="s">
        <v>1980</v>
      </c>
    </row>
    <row r="360" spans="91:100" x14ac:dyDescent="0.25">
      <c r="CM360" s="582"/>
      <c r="CN360" s="584" t="s">
        <v>2915</v>
      </c>
      <c r="CO360" s="584" t="s">
        <v>1909</v>
      </c>
      <c r="CP360" s="584" t="s">
        <v>1888</v>
      </c>
      <c r="CQ360" s="584" t="s">
        <v>2916</v>
      </c>
      <c r="CR360" s="584" t="s">
        <v>2916</v>
      </c>
      <c r="CS360" s="584" t="s">
        <v>1978</v>
      </c>
      <c r="CT360" s="584" t="s">
        <v>1979</v>
      </c>
      <c r="CU360" s="584" t="s">
        <v>1892</v>
      </c>
      <c r="CV360" s="585" t="s">
        <v>1980</v>
      </c>
    </row>
    <row r="361" spans="91:100" x14ac:dyDescent="0.25">
      <c r="CM361" s="582"/>
      <c r="CN361" s="584" t="s">
        <v>2917</v>
      </c>
      <c r="CO361" s="584" t="s">
        <v>1909</v>
      </c>
      <c r="CP361" s="584" t="s">
        <v>1888</v>
      </c>
      <c r="CQ361" s="584" t="s">
        <v>2918</v>
      </c>
      <c r="CR361" s="584" t="s">
        <v>2918</v>
      </c>
      <c r="CS361" s="584" t="s">
        <v>1978</v>
      </c>
      <c r="CT361" s="584" t="s">
        <v>1979</v>
      </c>
      <c r="CU361" s="584" t="s">
        <v>1892</v>
      </c>
      <c r="CV361" s="585" t="s">
        <v>1980</v>
      </c>
    </row>
    <row r="362" spans="91:100" x14ac:dyDescent="0.25">
      <c r="CM362" s="582"/>
      <c r="CN362" s="584" t="s">
        <v>2919</v>
      </c>
      <c r="CO362" s="584" t="s">
        <v>1909</v>
      </c>
      <c r="CP362" s="584" t="s">
        <v>1888</v>
      </c>
      <c r="CQ362" s="584" t="s">
        <v>2920</v>
      </c>
      <c r="CR362" s="584" t="s">
        <v>2920</v>
      </c>
      <c r="CS362" s="584" t="s">
        <v>1978</v>
      </c>
      <c r="CT362" s="584" t="s">
        <v>1979</v>
      </c>
      <c r="CU362" s="584" t="s">
        <v>1892</v>
      </c>
      <c r="CV362" s="585" t="s">
        <v>1980</v>
      </c>
    </row>
    <row r="363" spans="91:100" x14ac:dyDescent="0.25">
      <c r="CM363" s="582"/>
      <c r="CN363" s="584" t="s">
        <v>2921</v>
      </c>
      <c r="CO363" s="584" t="s">
        <v>1909</v>
      </c>
      <c r="CP363" s="584" t="s">
        <v>1888</v>
      </c>
      <c r="CQ363" s="584" t="s">
        <v>2922</v>
      </c>
      <c r="CR363" s="584" t="s">
        <v>2922</v>
      </c>
      <c r="CS363" s="584" t="s">
        <v>1890</v>
      </c>
      <c r="CT363" s="584" t="s">
        <v>2867</v>
      </c>
      <c r="CU363" s="584" t="s">
        <v>1892</v>
      </c>
      <c r="CV363" s="585" t="s">
        <v>1893</v>
      </c>
    </row>
    <row r="364" spans="91:100" x14ac:dyDescent="0.25">
      <c r="CM364" s="582"/>
      <c r="CN364" s="584" t="s">
        <v>2923</v>
      </c>
      <c r="CO364" s="584" t="s">
        <v>1909</v>
      </c>
      <c r="CP364" s="584" t="s">
        <v>1888</v>
      </c>
      <c r="CQ364" s="584" t="s">
        <v>2144</v>
      </c>
      <c r="CR364" s="584" t="s">
        <v>2145</v>
      </c>
      <c r="CS364" s="584" t="s">
        <v>1890</v>
      </c>
      <c r="CT364" s="584" t="s">
        <v>2867</v>
      </c>
      <c r="CU364" s="584" t="s">
        <v>1892</v>
      </c>
      <c r="CV364" s="585" t="s">
        <v>1893</v>
      </c>
    </row>
    <row r="365" spans="91:100" x14ac:dyDescent="0.25">
      <c r="CM365" s="582"/>
      <c r="CN365" s="584" t="s">
        <v>2924</v>
      </c>
      <c r="CO365" s="584" t="s">
        <v>1909</v>
      </c>
      <c r="CP365" s="584" t="s">
        <v>1888</v>
      </c>
      <c r="CQ365" s="584" t="s">
        <v>2925</v>
      </c>
      <c r="CR365" s="584" t="s">
        <v>2925</v>
      </c>
      <c r="CS365" s="584" t="s">
        <v>1890</v>
      </c>
      <c r="CT365" s="584" t="s">
        <v>2867</v>
      </c>
      <c r="CU365" s="584" t="s">
        <v>1892</v>
      </c>
      <c r="CV365" s="585" t="s">
        <v>1893</v>
      </c>
    </row>
    <row r="366" spans="91:100" x14ac:dyDescent="0.25">
      <c r="CM366" s="582"/>
      <c r="CN366" s="584" t="s">
        <v>2926</v>
      </c>
      <c r="CO366" s="584" t="s">
        <v>1909</v>
      </c>
      <c r="CP366" s="584" t="s">
        <v>1888</v>
      </c>
      <c r="CQ366" s="584" t="s">
        <v>2927</v>
      </c>
      <c r="CR366" s="584" t="s">
        <v>2928</v>
      </c>
      <c r="CS366" s="584" t="s">
        <v>1890</v>
      </c>
      <c r="CT366" s="584" t="s">
        <v>2867</v>
      </c>
      <c r="CU366" s="584" t="s">
        <v>1892</v>
      </c>
      <c r="CV366" s="585" t="s">
        <v>1893</v>
      </c>
    </row>
    <row r="367" spans="91:100" x14ac:dyDescent="0.25">
      <c r="CM367" s="582"/>
      <c r="CN367" s="584" t="s">
        <v>2929</v>
      </c>
      <c r="CO367" s="584" t="s">
        <v>1909</v>
      </c>
      <c r="CP367" s="584" t="s">
        <v>1888</v>
      </c>
      <c r="CQ367" s="584" t="s">
        <v>2930</v>
      </c>
      <c r="CR367" s="584" t="s">
        <v>2931</v>
      </c>
      <c r="CS367" s="584" t="s">
        <v>1890</v>
      </c>
      <c r="CT367" s="584" t="s">
        <v>2867</v>
      </c>
      <c r="CU367" s="584" t="s">
        <v>1892</v>
      </c>
      <c r="CV367" s="585" t="s">
        <v>1893</v>
      </c>
    </row>
    <row r="368" spans="91:100" x14ac:dyDescent="0.25">
      <c r="CM368" s="582"/>
      <c r="CN368" s="584" t="s">
        <v>2932</v>
      </c>
      <c r="CO368" s="584" t="s">
        <v>1909</v>
      </c>
      <c r="CP368" s="584" t="s">
        <v>1888</v>
      </c>
      <c r="CQ368" s="584" t="s">
        <v>2933</v>
      </c>
      <c r="CR368" s="584" t="s">
        <v>2934</v>
      </c>
      <c r="CS368" s="584" t="s">
        <v>1890</v>
      </c>
      <c r="CT368" s="584" t="s">
        <v>2867</v>
      </c>
      <c r="CU368" s="584" t="s">
        <v>1892</v>
      </c>
      <c r="CV368" s="585" t="s">
        <v>1893</v>
      </c>
    </row>
    <row r="369" spans="91:100" x14ac:dyDescent="0.25">
      <c r="CM369" s="582"/>
      <c r="CN369" s="584" t="s">
        <v>2935</v>
      </c>
      <c r="CO369" s="584" t="s">
        <v>1909</v>
      </c>
      <c r="CP369" s="584" t="s">
        <v>1888</v>
      </c>
      <c r="CQ369" s="584" t="s">
        <v>2936</v>
      </c>
      <c r="CR369" s="584" t="s">
        <v>2937</v>
      </c>
      <c r="CS369" s="584" t="s">
        <v>1890</v>
      </c>
      <c r="CT369" s="584" t="s">
        <v>2867</v>
      </c>
      <c r="CU369" s="584" t="s">
        <v>1892</v>
      </c>
      <c r="CV369" s="585" t="s">
        <v>1893</v>
      </c>
    </row>
    <row r="370" spans="91:100" x14ac:dyDescent="0.25">
      <c r="CM370" s="582"/>
      <c r="CN370" s="584" t="s">
        <v>2938</v>
      </c>
      <c r="CO370" s="584" t="s">
        <v>1909</v>
      </c>
      <c r="CP370" s="584" t="s">
        <v>1888</v>
      </c>
      <c r="CQ370" s="584" t="s">
        <v>2939</v>
      </c>
      <c r="CR370" s="584" t="s">
        <v>2939</v>
      </c>
      <c r="CS370" s="584" t="s">
        <v>1890</v>
      </c>
      <c r="CT370" s="584" t="s">
        <v>2867</v>
      </c>
      <c r="CU370" s="584" t="s">
        <v>1892</v>
      </c>
      <c r="CV370" s="585" t="s">
        <v>1893</v>
      </c>
    </row>
    <row r="371" spans="91:100" x14ac:dyDescent="0.25">
      <c r="CM371" s="582"/>
      <c r="CN371" s="584" t="s">
        <v>2940</v>
      </c>
      <c r="CO371" s="584" t="s">
        <v>1909</v>
      </c>
      <c r="CP371" s="584" t="s">
        <v>1888</v>
      </c>
      <c r="CQ371" s="584" t="s">
        <v>2941</v>
      </c>
      <c r="CR371" s="584" t="s">
        <v>2941</v>
      </c>
      <c r="CS371" s="584" t="s">
        <v>1890</v>
      </c>
      <c r="CT371" s="584" t="s">
        <v>2867</v>
      </c>
      <c r="CU371" s="584" t="s">
        <v>1892</v>
      </c>
      <c r="CV371" s="585" t="s">
        <v>1893</v>
      </c>
    </row>
    <row r="372" spans="91:100" x14ac:dyDescent="0.25">
      <c r="CM372" s="582"/>
      <c r="CN372" s="584" t="s">
        <v>2942</v>
      </c>
      <c r="CO372" s="584" t="s">
        <v>1909</v>
      </c>
      <c r="CP372" s="584" t="s">
        <v>1888</v>
      </c>
      <c r="CQ372" s="584" t="s">
        <v>2943</v>
      </c>
      <c r="CR372" s="584" t="s">
        <v>2943</v>
      </c>
      <c r="CS372" s="584" t="s">
        <v>1890</v>
      </c>
      <c r="CT372" s="584" t="s">
        <v>2867</v>
      </c>
      <c r="CU372" s="584" t="s">
        <v>1892</v>
      </c>
      <c r="CV372" s="585" t="s">
        <v>1893</v>
      </c>
    </row>
    <row r="373" spans="91:100" x14ac:dyDescent="0.25">
      <c r="CM373" s="582"/>
      <c r="CN373" s="584" t="s">
        <v>2944</v>
      </c>
      <c r="CO373" s="584" t="s">
        <v>1909</v>
      </c>
      <c r="CP373" s="584" t="s">
        <v>1888</v>
      </c>
      <c r="CQ373" s="584" t="s">
        <v>2945</v>
      </c>
      <c r="CR373" s="584" t="s">
        <v>2945</v>
      </c>
      <c r="CS373" s="584" t="s">
        <v>1890</v>
      </c>
      <c r="CT373" s="584" t="s">
        <v>2867</v>
      </c>
      <c r="CU373" s="584" t="s">
        <v>1892</v>
      </c>
      <c r="CV373" s="585" t="s">
        <v>1893</v>
      </c>
    </row>
    <row r="374" spans="91:100" x14ac:dyDescent="0.25">
      <c r="CM374" s="582"/>
      <c r="CN374" s="584" t="s">
        <v>2946</v>
      </c>
      <c r="CO374" s="584" t="s">
        <v>1909</v>
      </c>
      <c r="CP374" s="584" t="s">
        <v>1888</v>
      </c>
      <c r="CQ374" s="584" t="s">
        <v>2947</v>
      </c>
      <c r="CR374" s="584" t="s">
        <v>2947</v>
      </c>
      <c r="CS374" s="584" t="s">
        <v>1890</v>
      </c>
      <c r="CT374" s="584" t="s">
        <v>2867</v>
      </c>
      <c r="CU374" s="584" t="s">
        <v>1892</v>
      </c>
      <c r="CV374" s="585" t="s">
        <v>1893</v>
      </c>
    </row>
    <row r="375" spans="91:100" x14ac:dyDescent="0.25">
      <c r="CM375" s="582"/>
      <c r="CN375" s="584" t="s">
        <v>2948</v>
      </c>
      <c r="CO375" s="584" t="s">
        <v>1909</v>
      </c>
      <c r="CP375" s="584" t="s">
        <v>1888</v>
      </c>
      <c r="CQ375" s="584" t="s">
        <v>2949</v>
      </c>
      <c r="CR375" s="584" t="s">
        <v>2950</v>
      </c>
      <c r="CS375" s="584" t="s">
        <v>1890</v>
      </c>
      <c r="CT375" s="584" t="s">
        <v>2867</v>
      </c>
      <c r="CU375" s="584" t="s">
        <v>1892</v>
      </c>
      <c r="CV375" s="585" t="s">
        <v>1893</v>
      </c>
    </row>
    <row r="376" spans="91:100" x14ac:dyDescent="0.25">
      <c r="CM376" s="582"/>
      <c r="CN376" s="584" t="s">
        <v>2951</v>
      </c>
      <c r="CO376" s="584" t="s">
        <v>1909</v>
      </c>
      <c r="CP376" s="584" t="s">
        <v>1888</v>
      </c>
      <c r="CQ376" s="584" t="s">
        <v>2952</v>
      </c>
      <c r="CR376" s="584" t="s">
        <v>2953</v>
      </c>
      <c r="CS376" s="584" t="s">
        <v>1890</v>
      </c>
      <c r="CT376" s="584" t="s">
        <v>2867</v>
      </c>
      <c r="CU376" s="584" t="s">
        <v>1892</v>
      </c>
      <c r="CV376" s="585" t="s">
        <v>1893</v>
      </c>
    </row>
    <row r="377" spans="91:100" x14ac:dyDescent="0.25">
      <c r="CM377" s="582"/>
      <c r="CN377" s="584" t="s">
        <v>2954</v>
      </c>
      <c r="CO377" s="584" t="s">
        <v>1909</v>
      </c>
      <c r="CP377" s="584" t="s">
        <v>1888</v>
      </c>
      <c r="CQ377" s="584" t="s">
        <v>2955</v>
      </c>
      <c r="CR377" s="584" t="s">
        <v>2956</v>
      </c>
      <c r="CS377" s="584" t="s">
        <v>1890</v>
      </c>
      <c r="CT377" s="584" t="s">
        <v>2867</v>
      </c>
      <c r="CU377" s="584" t="s">
        <v>1892</v>
      </c>
      <c r="CV377" s="585" t="s">
        <v>1893</v>
      </c>
    </row>
    <row r="378" spans="91:100" x14ac:dyDescent="0.25">
      <c r="CM378" s="582"/>
      <c r="CN378" s="584" t="s">
        <v>2957</v>
      </c>
      <c r="CO378" s="584" t="s">
        <v>1909</v>
      </c>
      <c r="CP378" s="584" t="s">
        <v>1888</v>
      </c>
      <c r="CQ378" s="584" t="s">
        <v>2958</v>
      </c>
      <c r="CR378" s="584" t="s">
        <v>2959</v>
      </c>
      <c r="CS378" s="584" t="s">
        <v>1890</v>
      </c>
      <c r="CT378" s="584" t="s">
        <v>2867</v>
      </c>
      <c r="CU378" s="584" t="s">
        <v>1892</v>
      </c>
      <c r="CV378" s="585" t="s">
        <v>1893</v>
      </c>
    </row>
    <row r="379" spans="91:100" x14ac:dyDescent="0.25">
      <c r="CM379" s="582"/>
      <c r="CN379" s="584" t="s">
        <v>2960</v>
      </c>
      <c r="CO379" s="584" t="s">
        <v>1909</v>
      </c>
      <c r="CP379" s="584" t="s">
        <v>1888</v>
      </c>
      <c r="CQ379" s="584" t="s">
        <v>2961</v>
      </c>
      <c r="CR379" s="584" t="s">
        <v>2962</v>
      </c>
      <c r="CS379" s="584" t="s">
        <v>1890</v>
      </c>
      <c r="CT379" s="584" t="s">
        <v>2867</v>
      </c>
      <c r="CU379" s="584" t="s">
        <v>1892</v>
      </c>
      <c r="CV379" s="585" t="s">
        <v>1893</v>
      </c>
    </row>
    <row r="380" spans="91:100" x14ac:dyDescent="0.25">
      <c r="CM380" s="582"/>
      <c r="CN380" s="584" t="s">
        <v>2963</v>
      </c>
      <c r="CO380" s="584" t="s">
        <v>1909</v>
      </c>
      <c r="CP380" s="584" t="s">
        <v>1888</v>
      </c>
      <c r="CQ380" s="584" t="s">
        <v>2964</v>
      </c>
      <c r="CR380" s="584" t="s">
        <v>2965</v>
      </c>
      <c r="CS380" s="584" t="s">
        <v>1890</v>
      </c>
      <c r="CT380" s="584" t="s">
        <v>2867</v>
      </c>
      <c r="CU380" s="584" t="s">
        <v>1892</v>
      </c>
      <c r="CV380" s="585" t="s">
        <v>1893</v>
      </c>
    </row>
    <row r="381" spans="91:100" x14ac:dyDescent="0.25">
      <c r="CM381" s="582"/>
      <c r="CN381" s="584" t="s">
        <v>2966</v>
      </c>
      <c r="CO381" s="584" t="s">
        <v>1909</v>
      </c>
      <c r="CP381" s="584" t="s">
        <v>1888</v>
      </c>
      <c r="CQ381" s="584" t="s">
        <v>2967</v>
      </c>
      <c r="CR381" s="584" t="s">
        <v>2968</v>
      </c>
      <c r="CS381" s="584" t="s">
        <v>1890</v>
      </c>
      <c r="CT381" s="584" t="s">
        <v>2867</v>
      </c>
      <c r="CU381" s="584" t="s">
        <v>1892</v>
      </c>
      <c r="CV381" s="585" t="s">
        <v>1893</v>
      </c>
    </row>
    <row r="382" spans="91:100" x14ac:dyDescent="0.25">
      <c r="CM382" s="582"/>
      <c r="CN382" s="584" t="s">
        <v>2969</v>
      </c>
      <c r="CO382" s="584" t="s">
        <v>1909</v>
      </c>
      <c r="CP382" s="584" t="s">
        <v>1888</v>
      </c>
      <c r="CQ382" s="584" t="s">
        <v>2970</v>
      </c>
      <c r="CR382" s="584" t="s">
        <v>2970</v>
      </c>
      <c r="CS382" s="584" t="s">
        <v>1890</v>
      </c>
      <c r="CT382" s="584" t="s">
        <v>2867</v>
      </c>
      <c r="CU382" s="584" t="s">
        <v>1892</v>
      </c>
      <c r="CV382" s="585" t="s">
        <v>1893</v>
      </c>
    </row>
    <row r="383" spans="91:100" x14ac:dyDescent="0.25">
      <c r="CM383" s="582"/>
      <c r="CN383" s="584" t="s">
        <v>2971</v>
      </c>
      <c r="CO383" s="584" t="s">
        <v>1909</v>
      </c>
      <c r="CP383" s="584" t="s">
        <v>1888</v>
      </c>
      <c r="CQ383" s="584" t="s">
        <v>2972</v>
      </c>
      <c r="CR383" s="584" t="s">
        <v>2972</v>
      </c>
      <c r="CS383" s="584" t="s">
        <v>1890</v>
      </c>
      <c r="CT383" s="584" t="s">
        <v>2867</v>
      </c>
      <c r="CU383" s="584" t="s">
        <v>1892</v>
      </c>
      <c r="CV383" s="585" t="s">
        <v>1893</v>
      </c>
    </row>
    <row r="384" spans="91:100" x14ac:dyDescent="0.25">
      <c r="CM384" s="582"/>
      <c r="CN384" s="584" t="s">
        <v>2973</v>
      </c>
      <c r="CO384" s="584" t="s">
        <v>1909</v>
      </c>
      <c r="CP384" s="584" t="s">
        <v>1888</v>
      </c>
      <c r="CQ384" s="584" t="s">
        <v>2974</v>
      </c>
      <c r="CR384" s="584" t="s">
        <v>2974</v>
      </c>
      <c r="CS384" s="584" t="s">
        <v>1890</v>
      </c>
      <c r="CT384" s="584" t="s">
        <v>2867</v>
      </c>
      <c r="CU384" s="584" t="s">
        <v>1892</v>
      </c>
      <c r="CV384" s="585" t="s">
        <v>1893</v>
      </c>
    </row>
    <row r="385" spans="91:100" x14ac:dyDescent="0.25">
      <c r="CM385" s="582"/>
      <c r="CN385" s="584" t="s">
        <v>2975</v>
      </c>
      <c r="CO385" s="584" t="s">
        <v>1909</v>
      </c>
      <c r="CP385" s="584" t="s">
        <v>1888</v>
      </c>
      <c r="CQ385" s="584" t="s">
        <v>2976</v>
      </c>
      <c r="CR385" s="584" t="s">
        <v>2977</v>
      </c>
      <c r="CS385" s="584" t="s">
        <v>1890</v>
      </c>
      <c r="CT385" s="584" t="s">
        <v>2867</v>
      </c>
      <c r="CU385" s="584" t="s">
        <v>1892</v>
      </c>
      <c r="CV385" s="585" t="s">
        <v>1893</v>
      </c>
    </row>
    <row r="386" spans="91:100" x14ac:dyDescent="0.25">
      <c r="CM386" s="582"/>
      <c r="CN386" s="584" t="s">
        <v>2978</v>
      </c>
      <c r="CO386" s="584" t="s">
        <v>1909</v>
      </c>
      <c r="CP386" s="584" t="s">
        <v>1888</v>
      </c>
      <c r="CQ386" s="584" t="s">
        <v>2979</v>
      </c>
      <c r="CR386" s="584" t="s">
        <v>2979</v>
      </c>
      <c r="CS386" s="584" t="s">
        <v>1890</v>
      </c>
      <c r="CT386" s="584" t="s">
        <v>2867</v>
      </c>
      <c r="CU386" s="584" t="s">
        <v>1892</v>
      </c>
      <c r="CV386" s="585" t="s">
        <v>1893</v>
      </c>
    </row>
    <row r="387" spans="91:100" x14ac:dyDescent="0.25">
      <c r="CM387" s="582"/>
      <c r="CN387" s="584" t="s">
        <v>2980</v>
      </c>
      <c r="CO387" s="584" t="s">
        <v>1909</v>
      </c>
      <c r="CP387" s="584" t="s">
        <v>1888</v>
      </c>
      <c r="CQ387" s="584" t="s">
        <v>2981</v>
      </c>
      <c r="CR387" s="584" t="s">
        <v>2981</v>
      </c>
      <c r="CS387" s="584" t="s">
        <v>1890</v>
      </c>
      <c r="CT387" s="584" t="s">
        <v>2867</v>
      </c>
      <c r="CU387" s="584" t="s">
        <v>1892</v>
      </c>
      <c r="CV387" s="585" t="s">
        <v>1893</v>
      </c>
    </row>
    <row r="388" spans="91:100" x14ac:dyDescent="0.25">
      <c r="CM388" s="582"/>
      <c r="CN388" s="584" t="s">
        <v>2982</v>
      </c>
      <c r="CO388" s="584" t="s">
        <v>1909</v>
      </c>
      <c r="CP388" s="584" t="s">
        <v>1888</v>
      </c>
      <c r="CQ388" s="584" t="s">
        <v>2983</v>
      </c>
      <c r="CR388" s="584" t="s">
        <v>2984</v>
      </c>
      <c r="CS388" s="584" t="s">
        <v>1890</v>
      </c>
      <c r="CT388" s="584" t="s">
        <v>2867</v>
      </c>
      <c r="CU388" s="584" t="s">
        <v>1892</v>
      </c>
      <c r="CV388" s="585" t="s">
        <v>1893</v>
      </c>
    </row>
    <row r="389" spans="91:100" x14ac:dyDescent="0.25">
      <c r="CM389" s="582"/>
      <c r="CN389" s="584" t="s">
        <v>2985</v>
      </c>
      <c r="CO389" s="584" t="s">
        <v>1909</v>
      </c>
      <c r="CP389" s="584" t="s">
        <v>1888</v>
      </c>
      <c r="CQ389" s="584" t="s">
        <v>2265</v>
      </c>
      <c r="CR389" s="584" t="s">
        <v>2266</v>
      </c>
      <c r="CS389" s="584" t="s">
        <v>1890</v>
      </c>
      <c r="CT389" s="584" t="s">
        <v>2867</v>
      </c>
      <c r="CU389" s="584" t="s">
        <v>1892</v>
      </c>
      <c r="CV389" s="585" t="s">
        <v>1893</v>
      </c>
    </row>
    <row r="390" spans="91:100" x14ac:dyDescent="0.25">
      <c r="CM390" s="582"/>
      <c r="CN390" s="584" t="s">
        <v>2986</v>
      </c>
      <c r="CO390" s="584" t="s">
        <v>1909</v>
      </c>
      <c r="CP390" s="584" t="s">
        <v>1888</v>
      </c>
      <c r="CQ390" s="584" t="s">
        <v>2987</v>
      </c>
      <c r="CR390" s="584" t="s">
        <v>2988</v>
      </c>
      <c r="CS390" s="584" t="s">
        <v>1890</v>
      </c>
      <c r="CT390" s="584" t="s">
        <v>2867</v>
      </c>
      <c r="CU390" s="584" t="s">
        <v>1892</v>
      </c>
      <c r="CV390" s="585" t="s">
        <v>1893</v>
      </c>
    </row>
    <row r="391" spans="91:100" x14ac:dyDescent="0.25">
      <c r="CM391" s="582"/>
      <c r="CN391" s="584" t="s">
        <v>2989</v>
      </c>
      <c r="CO391" s="584" t="s">
        <v>1909</v>
      </c>
      <c r="CP391" s="584" t="s">
        <v>1888</v>
      </c>
      <c r="CQ391" s="584" t="s">
        <v>2362</v>
      </c>
      <c r="CR391" s="584" t="s">
        <v>2362</v>
      </c>
      <c r="CS391" s="584" t="s">
        <v>1890</v>
      </c>
      <c r="CT391" s="584" t="s">
        <v>2867</v>
      </c>
      <c r="CU391" s="584" t="s">
        <v>1892</v>
      </c>
      <c r="CV391" s="585" t="s">
        <v>1893</v>
      </c>
    </row>
    <row r="392" spans="91:100" x14ac:dyDescent="0.25">
      <c r="CM392" s="582"/>
      <c r="CN392" s="584" t="s">
        <v>2990</v>
      </c>
      <c r="CO392" s="584" t="s">
        <v>1909</v>
      </c>
      <c r="CP392" s="584" t="s">
        <v>1888</v>
      </c>
      <c r="CQ392" s="584" t="s">
        <v>2991</v>
      </c>
      <c r="CR392" s="584" t="s">
        <v>2991</v>
      </c>
      <c r="CS392" s="584" t="s">
        <v>1890</v>
      </c>
      <c r="CT392" s="584" t="s">
        <v>2867</v>
      </c>
      <c r="CU392" s="584" t="s">
        <v>1892</v>
      </c>
      <c r="CV392" s="585" t="s">
        <v>1893</v>
      </c>
    </row>
    <row r="393" spans="91:100" x14ac:dyDescent="0.25">
      <c r="CM393" s="582"/>
      <c r="CN393" s="584" t="s">
        <v>2992</v>
      </c>
      <c r="CO393" s="584" t="s">
        <v>1909</v>
      </c>
      <c r="CP393" s="584" t="s">
        <v>1888</v>
      </c>
      <c r="CQ393" s="584" t="s">
        <v>2993</v>
      </c>
      <c r="CR393" s="584" t="s">
        <v>2993</v>
      </c>
      <c r="CS393" s="584" t="s">
        <v>1890</v>
      </c>
      <c r="CT393" s="584" t="s">
        <v>2867</v>
      </c>
      <c r="CU393" s="584" t="s">
        <v>1892</v>
      </c>
      <c r="CV393" s="585" t="s">
        <v>1893</v>
      </c>
    </row>
    <row r="394" spans="91:100" x14ac:dyDescent="0.25">
      <c r="CM394" s="582"/>
      <c r="CN394" s="584" t="s">
        <v>2994</v>
      </c>
      <c r="CO394" s="584" t="s">
        <v>1909</v>
      </c>
      <c r="CP394" s="584" t="s">
        <v>1888</v>
      </c>
      <c r="CQ394" s="584" t="s">
        <v>2995</v>
      </c>
      <c r="CR394" s="584" t="s">
        <v>2995</v>
      </c>
      <c r="CS394" s="584" t="s">
        <v>1890</v>
      </c>
      <c r="CT394" s="584" t="s">
        <v>2867</v>
      </c>
      <c r="CU394" s="584" t="s">
        <v>1892</v>
      </c>
      <c r="CV394" s="585" t="s">
        <v>1893</v>
      </c>
    </row>
    <row r="395" spans="91:100" x14ac:dyDescent="0.25">
      <c r="CM395" s="582"/>
      <c r="CN395" s="584" t="s">
        <v>2996</v>
      </c>
      <c r="CO395" s="584" t="s">
        <v>1909</v>
      </c>
      <c r="CP395" s="584" t="s">
        <v>1888</v>
      </c>
      <c r="CQ395" s="584" t="s">
        <v>2997</v>
      </c>
      <c r="CR395" s="584" t="s">
        <v>2998</v>
      </c>
      <c r="CS395" s="584" t="s">
        <v>1890</v>
      </c>
      <c r="CT395" s="584" t="s">
        <v>2867</v>
      </c>
      <c r="CU395" s="584" t="s">
        <v>1892</v>
      </c>
      <c r="CV395" s="585" t="s">
        <v>1893</v>
      </c>
    </row>
    <row r="396" spans="91:100" x14ac:dyDescent="0.25">
      <c r="CM396" s="582"/>
      <c r="CN396" s="584" t="s">
        <v>2999</v>
      </c>
      <c r="CO396" s="584" t="s">
        <v>1909</v>
      </c>
      <c r="CP396" s="584" t="s">
        <v>1888</v>
      </c>
      <c r="CQ396" s="584" t="s">
        <v>3000</v>
      </c>
      <c r="CR396" s="584" t="s">
        <v>3000</v>
      </c>
      <c r="CS396" s="584" t="s">
        <v>1890</v>
      </c>
      <c r="CT396" s="584" t="s">
        <v>2867</v>
      </c>
      <c r="CU396" s="584" t="s">
        <v>1892</v>
      </c>
      <c r="CV396" s="585" t="s">
        <v>1893</v>
      </c>
    </row>
    <row r="397" spans="91:100" x14ac:dyDescent="0.25">
      <c r="CM397" s="582"/>
      <c r="CN397" s="584" t="s">
        <v>3001</v>
      </c>
      <c r="CO397" s="584" t="s">
        <v>1909</v>
      </c>
      <c r="CP397" s="584" t="s">
        <v>1888</v>
      </c>
      <c r="CQ397" s="584" t="s">
        <v>3002</v>
      </c>
      <c r="CR397" s="584" t="s">
        <v>3003</v>
      </c>
      <c r="CS397" s="584" t="s">
        <v>1890</v>
      </c>
      <c r="CT397" s="584" t="s">
        <v>2867</v>
      </c>
      <c r="CU397" s="584" t="s">
        <v>1892</v>
      </c>
      <c r="CV397" s="585" t="s">
        <v>1893</v>
      </c>
    </row>
    <row r="398" spans="91:100" x14ac:dyDescent="0.25">
      <c r="CM398" s="582"/>
      <c r="CN398" s="584" t="s">
        <v>3004</v>
      </c>
      <c r="CO398" s="584" t="s">
        <v>1909</v>
      </c>
      <c r="CP398" s="584" t="s">
        <v>1888</v>
      </c>
      <c r="CQ398" s="584" t="s">
        <v>3005</v>
      </c>
      <c r="CR398" s="584" t="s">
        <v>3005</v>
      </c>
      <c r="CS398" s="584" t="s">
        <v>1890</v>
      </c>
      <c r="CT398" s="584" t="s">
        <v>2867</v>
      </c>
      <c r="CU398" s="584" t="s">
        <v>1892</v>
      </c>
      <c r="CV398" s="585" t="s">
        <v>1893</v>
      </c>
    </row>
    <row r="399" spans="91:100" x14ac:dyDescent="0.25">
      <c r="CM399" s="582"/>
      <c r="CN399" s="584" t="s">
        <v>3006</v>
      </c>
      <c r="CO399" s="584" t="s">
        <v>1909</v>
      </c>
      <c r="CP399" s="584" t="s">
        <v>2535</v>
      </c>
      <c r="CQ399" s="584" t="s">
        <v>3007</v>
      </c>
      <c r="CR399" s="584" t="s">
        <v>3007</v>
      </c>
      <c r="CS399" s="584" t="s">
        <v>1890</v>
      </c>
      <c r="CT399" s="584" t="s">
        <v>3008</v>
      </c>
      <c r="CU399" s="584" t="s">
        <v>1892</v>
      </c>
      <c r="CV399" s="585" t="s">
        <v>1893</v>
      </c>
    </row>
    <row r="400" spans="91:100" x14ac:dyDescent="0.25">
      <c r="CM400" s="582"/>
      <c r="CN400" s="584" t="s">
        <v>3009</v>
      </c>
      <c r="CO400" s="584" t="s">
        <v>1909</v>
      </c>
      <c r="CP400" s="584" t="s">
        <v>2535</v>
      </c>
      <c r="CQ400" s="584" t="s">
        <v>3010</v>
      </c>
      <c r="CR400" s="584" t="s">
        <v>3010</v>
      </c>
      <c r="CS400" s="584" t="s">
        <v>1890</v>
      </c>
      <c r="CT400" s="584" t="s">
        <v>3008</v>
      </c>
      <c r="CU400" s="584" t="s">
        <v>1892</v>
      </c>
      <c r="CV400" s="585" t="s">
        <v>1893</v>
      </c>
    </row>
    <row r="401" spans="91:100" x14ac:dyDescent="0.25">
      <c r="CM401" s="582"/>
      <c r="CN401" s="584" t="s">
        <v>3011</v>
      </c>
      <c r="CO401" s="584" t="s">
        <v>1909</v>
      </c>
      <c r="CP401" s="584" t="s">
        <v>2535</v>
      </c>
      <c r="CQ401" s="584" t="s">
        <v>2536</v>
      </c>
      <c r="CR401" s="584" t="s">
        <v>2536</v>
      </c>
      <c r="CS401" s="584" t="s">
        <v>1890</v>
      </c>
      <c r="CT401" s="584" t="s">
        <v>3008</v>
      </c>
      <c r="CU401" s="584" t="s">
        <v>1892</v>
      </c>
      <c r="CV401" s="585" t="s">
        <v>1893</v>
      </c>
    </row>
    <row r="402" spans="91:100" x14ac:dyDescent="0.25">
      <c r="CM402" s="582"/>
      <c r="CN402" s="584" t="s">
        <v>3012</v>
      </c>
      <c r="CO402" s="584" t="s">
        <v>1909</v>
      </c>
      <c r="CP402" s="584" t="s">
        <v>2535</v>
      </c>
      <c r="CQ402" s="584" t="s">
        <v>2032</v>
      </c>
      <c r="CR402" s="584" t="s">
        <v>2032</v>
      </c>
      <c r="CS402" s="584" t="s">
        <v>1890</v>
      </c>
      <c r="CT402" s="584" t="s">
        <v>3008</v>
      </c>
      <c r="CU402" s="584" t="s">
        <v>1892</v>
      </c>
      <c r="CV402" s="585" t="s">
        <v>1893</v>
      </c>
    </row>
    <row r="403" spans="91:100" x14ac:dyDescent="0.25">
      <c r="CM403" s="582"/>
      <c r="CN403" s="584" t="s">
        <v>3013</v>
      </c>
      <c r="CO403" s="584" t="s">
        <v>1909</v>
      </c>
      <c r="CP403" s="584" t="s">
        <v>2535</v>
      </c>
      <c r="CQ403" s="584" t="s">
        <v>3014</v>
      </c>
      <c r="CR403" s="584" t="s">
        <v>3014</v>
      </c>
      <c r="CS403" s="584" t="s">
        <v>1890</v>
      </c>
      <c r="CT403" s="584" t="s">
        <v>3008</v>
      </c>
      <c r="CU403" s="584" t="s">
        <v>1892</v>
      </c>
      <c r="CV403" s="585" t="s">
        <v>1893</v>
      </c>
    </row>
    <row r="404" spans="91:100" x14ac:dyDescent="0.25">
      <c r="CM404" s="582"/>
      <c r="CN404" s="584" t="s">
        <v>3015</v>
      </c>
      <c r="CO404" s="584" t="s">
        <v>1909</v>
      </c>
      <c r="CP404" s="584" t="s">
        <v>2535</v>
      </c>
      <c r="CQ404" s="584" t="s">
        <v>2541</v>
      </c>
      <c r="CR404" s="584" t="s">
        <v>2541</v>
      </c>
      <c r="CS404" s="584" t="s">
        <v>1978</v>
      </c>
      <c r="CT404" s="584" t="s">
        <v>2542</v>
      </c>
      <c r="CU404" s="584" t="s">
        <v>1892</v>
      </c>
      <c r="CV404" s="585" t="s">
        <v>1980</v>
      </c>
    </row>
    <row r="405" spans="91:100" x14ac:dyDescent="0.25">
      <c r="CM405" s="582"/>
      <c r="CN405" s="584" t="s">
        <v>3016</v>
      </c>
      <c r="CO405" s="584" t="s">
        <v>1909</v>
      </c>
      <c r="CP405" s="584" t="s">
        <v>2535</v>
      </c>
      <c r="CQ405" s="584" t="s">
        <v>2544</v>
      </c>
      <c r="CR405" s="584" t="s">
        <v>2544</v>
      </c>
      <c r="CS405" s="584" t="s">
        <v>1978</v>
      </c>
      <c r="CT405" s="584" t="s">
        <v>2542</v>
      </c>
      <c r="CU405" s="584" t="s">
        <v>1892</v>
      </c>
      <c r="CV405" s="585" t="s">
        <v>1980</v>
      </c>
    </row>
    <row r="406" spans="91:100" x14ac:dyDescent="0.25">
      <c r="CM406" s="582"/>
      <c r="CN406" s="584" t="s">
        <v>3017</v>
      </c>
      <c r="CO406" s="584" t="s">
        <v>1909</v>
      </c>
      <c r="CP406" s="584" t="s">
        <v>2535</v>
      </c>
      <c r="CQ406" s="584" t="s">
        <v>3018</v>
      </c>
      <c r="CR406" s="584" t="s">
        <v>3018</v>
      </c>
      <c r="CS406" s="584" t="s">
        <v>1890</v>
      </c>
      <c r="CT406" s="584" t="s">
        <v>3008</v>
      </c>
      <c r="CU406" s="584" t="s">
        <v>1892</v>
      </c>
      <c r="CV406" s="585" t="s">
        <v>1893</v>
      </c>
    </row>
    <row r="407" spans="91:100" x14ac:dyDescent="0.25">
      <c r="CM407" s="582"/>
      <c r="CN407" s="584" t="s">
        <v>3019</v>
      </c>
      <c r="CO407" s="584" t="s">
        <v>1909</v>
      </c>
      <c r="CP407" s="584" t="s">
        <v>2535</v>
      </c>
      <c r="CQ407" s="584" t="s">
        <v>2548</v>
      </c>
      <c r="CR407" s="584" t="s">
        <v>2548</v>
      </c>
      <c r="CS407" s="584" t="s">
        <v>1890</v>
      </c>
      <c r="CT407" s="584" t="s">
        <v>3008</v>
      </c>
      <c r="CU407" s="584" t="s">
        <v>1892</v>
      </c>
      <c r="CV407" s="585" t="s">
        <v>1893</v>
      </c>
    </row>
    <row r="408" spans="91:100" x14ac:dyDescent="0.25">
      <c r="CM408" s="582"/>
      <c r="CN408" s="584" t="s">
        <v>3020</v>
      </c>
      <c r="CO408" s="584" t="s">
        <v>1909</v>
      </c>
      <c r="CP408" s="584" t="s">
        <v>2535</v>
      </c>
      <c r="CQ408" s="584" t="s">
        <v>3021</v>
      </c>
      <c r="CR408" s="584" t="s">
        <v>3022</v>
      </c>
      <c r="CS408" s="584" t="s">
        <v>1890</v>
      </c>
      <c r="CT408" s="584" t="s">
        <v>3008</v>
      </c>
      <c r="CU408" s="584" t="s">
        <v>1892</v>
      </c>
      <c r="CV408" s="585" t="s">
        <v>1893</v>
      </c>
    </row>
    <row r="409" spans="91:100" x14ac:dyDescent="0.25">
      <c r="CM409" s="582"/>
      <c r="CN409" s="584" t="s">
        <v>3023</v>
      </c>
      <c r="CO409" s="584" t="s">
        <v>1909</v>
      </c>
      <c r="CP409" s="584" t="s">
        <v>2535</v>
      </c>
      <c r="CQ409" s="584" t="s">
        <v>3024</v>
      </c>
      <c r="CR409" s="584" t="s">
        <v>3024</v>
      </c>
      <c r="CS409" s="584" t="s">
        <v>1890</v>
      </c>
      <c r="CT409" s="584" t="s">
        <v>3008</v>
      </c>
      <c r="CU409" s="584" t="s">
        <v>1892</v>
      </c>
      <c r="CV409" s="585" t="s">
        <v>1893</v>
      </c>
    </row>
    <row r="410" spans="91:100" x14ac:dyDescent="0.25">
      <c r="CM410" s="582"/>
      <c r="CN410" s="584" t="s">
        <v>3025</v>
      </c>
      <c r="CO410" s="584" t="s">
        <v>1909</v>
      </c>
      <c r="CP410" s="584" t="s">
        <v>2535</v>
      </c>
      <c r="CQ410" s="584" t="s">
        <v>3026</v>
      </c>
      <c r="CR410" s="584" t="s">
        <v>3026</v>
      </c>
      <c r="CS410" s="584" t="s">
        <v>1890</v>
      </c>
      <c r="CT410" s="584" t="s">
        <v>3008</v>
      </c>
      <c r="CU410" s="584" t="s">
        <v>1892</v>
      </c>
      <c r="CV410" s="585" t="s">
        <v>1893</v>
      </c>
    </row>
    <row r="411" spans="91:100" x14ac:dyDescent="0.25">
      <c r="CM411" s="582"/>
      <c r="CN411" s="584" t="s">
        <v>3027</v>
      </c>
      <c r="CO411" s="584" t="s">
        <v>1909</v>
      </c>
      <c r="CP411" s="584" t="s">
        <v>2535</v>
      </c>
      <c r="CQ411" s="584" t="s">
        <v>3028</v>
      </c>
      <c r="CR411" s="584" t="s">
        <v>3028</v>
      </c>
      <c r="CS411" s="584" t="s">
        <v>1890</v>
      </c>
      <c r="CT411" s="584" t="s">
        <v>3008</v>
      </c>
      <c r="CU411" s="584" t="s">
        <v>1892</v>
      </c>
      <c r="CV411" s="585" t="s">
        <v>1893</v>
      </c>
    </row>
    <row r="412" spans="91:100" x14ac:dyDescent="0.25">
      <c r="CM412" s="582"/>
      <c r="CN412" s="584" t="s">
        <v>3029</v>
      </c>
      <c r="CO412" s="584" t="s">
        <v>1909</v>
      </c>
      <c r="CP412" s="584" t="s">
        <v>2535</v>
      </c>
      <c r="CQ412" s="584" t="s">
        <v>3030</v>
      </c>
      <c r="CR412" s="584" t="s">
        <v>3030</v>
      </c>
      <c r="CS412" s="584" t="s">
        <v>1890</v>
      </c>
      <c r="CT412" s="584" t="s">
        <v>3008</v>
      </c>
      <c r="CU412" s="584" t="s">
        <v>1892</v>
      </c>
      <c r="CV412" s="585" t="s">
        <v>1893</v>
      </c>
    </row>
    <row r="413" spans="91:100" x14ac:dyDescent="0.25">
      <c r="CM413" s="582"/>
      <c r="CN413" s="584" t="s">
        <v>3031</v>
      </c>
      <c r="CO413" s="584" t="s">
        <v>1909</v>
      </c>
      <c r="CP413" s="584" t="s">
        <v>2535</v>
      </c>
      <c r="CQ413" s="584" t="s">
        <v>3032</v>
      </c>
      <c r="CR413" s="584" t="s">
        <v>3033</v>
      </c>
      <c r="CS413" s="584" t="s">
        <v>1890</v>
      </c>
      <c r="CT413" s="584" t="s">
        <v>3008</v>
      </c>
      <c r="CU413" s="584" t="s">
        <v>1892</v>
      </c>
      <c r="CV413" s="585" t="s">
        <v>1893</v>
      </c>
    </row>
    <row r="414" spans="91:100" x14ac:dyDescent="0.25">
      <c r="CM414" s="582"/>
      <c r="CN414" s="584" t="s">
        <v>3034</v>
      </c>
      <c r="CO414" s="584" t="s">
        <v>1909</v>
      </c>
      <c r="CP414" s="584" t="s">
        <v>2535</v>
      </c>
      <c r="CQ414" s="584" t="s">
        <v>3035</v>
      </c>
      <c r="CR414" s="584" t="s">
        <v>3036</v>
      </c>
      <c r="CS414" s="584" t="s">
        <v>1890</v>
      </c>
      <c r="CT414" s="584" t="s">
        <v>3008</v>
      </c>
      <c r="CU414" s="584" t="s">
        <v>1892</v>
      </c>
      <c r="CV414" s="585" t="s">
        <v>1893</v>
      </c>
    </row>
    <row r="415" spans="91:100" x14ac:dyDescent="0.25">
      <c r="CM415" s="582"/>
      <c r="CN415" s="584" t="s">
        <v>3037</v>
      </c>
      <c r="CO415" s="584" t="s">
        <v>1909</v>
      </c>
      <c r="CP415" s="584" t="s">
        <v>2535</v>
      </c>
      <c r="CQ415" s="584" t="s">
        <v>2257</v>
      </c>
      <c r="CR415" s="584" t="s">
        <v>2257</v>
      </c>
      <c r="CS415" s="584" t="s">
        <v>1890</v>
      </c>
      <c r="CT415" s="584" t="s">
        <v>3008</v>
      </c>
      <c r="CU415" s="584" t="s">
        <v>1892</v>
      </c>
      <c r="CV415" s="585" t="s">
        <v>1893</v>
      </c>
    </row>
    <row r="416" spans="91:100" x14ac:dyDescent="0.25">
      <c r="CM416" s="582"/>
      <c r="CN416" s="584" t="s">
        <v>3038</v>
      </c>
      <c r="CO416" s="584" t="s">
        <v>1909</v>
      </c>
      <c r="CP416" s="584" t="s">
        <v>2535</v>
      </c>
      <c r="CQ416" s="584" t="s">
        <v>3039</v>
      </c>
      <c r="CR416" s="584" t="s">
        <v>3040</v>
      </c>
      <c r="CS416" s="584" t="s">
        <v>1890</v>
      </c>
      <c r="CT416" s="584" t="s">
        <v>3008</v>
      </c>
      <c r="CU416" s="584" t="s">
        <v>1892</v>
      </c>
      <c r="CV416" s="585" t="s">
        <v>1893</v>
      </c>
    </row>
    <row r="417" spans="91:100" x14ac:dyDescent="0.25">
      <c r="CM417" s="582"/>
      <c r="CN417" s="584" t="s">
        <v>3041</v>
      </c>
      <c r="CO417" s="584" t="s">
        <v>1909</v>
      </c>
      <c r="CP417" s="584" t="s">
        <v>2535</v>
      </c>
      <c r="CQ417" s="584" t="s">
        <v>3042</v>
      </c>
      <c r="CR417" s="584" t="s">
        <v>3043</v>
      </c>
      <c r="CS417" s="584" t="s">
        <v>1890</v>
      </c>
      <c r="CT417" s="584" t="s">
        <v>3008</v>
      </c>
      <c r="CU417" s="584" t="s">
        <v>1892</v>
      </c>
      <c r="CV417" s="585" t="s">
        <v>1893</v>
      </c>
    </row>
    <row r="418" spans="91:100" x14ac:dyDescent="0.25">
      <c r="CM418" s="582"/>
      <c r="CN418" s="584" t="s">
        <v>3044</v>
      </c>
      <c r="CO418" s="584" t="s">
        <v>1909</v>
      </c>
      <c r="CP418" s="584" t="s">
        <v>2535</v>
      </c>
      <c r="CQ418" s="584" t="s">
        <v>3045</v>
      </c>
      <c r="CR418" s="584" t="s">
        <v>3045</v>
      </c>
      <c r="CS418" s="584" t="s">
        <v>1890</v>
      </c>
      <c r="CT418" s="584" t="s">
        <v>3008</v>
      </c>
      <c r="CU418" s="584" t="s">
        <v>1892</v>
      </c>
      <c r="CV418" s="585" t="s">
        <v>1893</v>
      </c>
    </row>
    <row r="419" spans="91:100" x14ac:dyDescent="0.25">
      <c r="CM419" s="582"/>
      <c r="CN419" s="584" t="s">
        <v>3046</v>
      </c>
      <c r="CO419" s="584" t="s">
        <v>1909</v>
      </c>
      <c r="CP419" s="584" t="s">
        <v>2535</v>
      </c>
      <c r="CQ419" s="584" t="s">
        <v>2558</v>
      </c>
      <c r="CR419" s="584" t="s">
        <v>2558</v>
      </c>
      <c r="CS419" s="584" t="s">
        <v>1890</v>
      </c>
      <c r="CT419" s="584" t="s">
        <v>3008</v>
      </c>
      <c r="CU419" s="584" t="s">
        <v>1892</v>
      </c>
      <c r="CV419" s="585" t="s">
        <v>1893</v>
      </c>
    </row>
    <row r="420" spans="91:100" x14ac:dyDescent="0.25">
      <c r="CM420" s="582"/>
      <c r="CN420" s="584" t="s">
        <v>3047</v>
      </c>
      <c r="CO420" s="584" t="s">
        <v>1909</v>
      </c>
      <c r="CP420" s="584" t="s">
        <v>2535</v>
      </c>
      <c r="CQ420" s="584" t="s">
        <v>3048</v>
      </c>
      <c r="CR420" s="584" t="s">
        <v>3048</v>
      </c>
      <c r="CS420" s="584" t="s">
        <v>1890</v>
      </c>
      <c r="CT420" s="584" t="s">
        <v>3008</v>
      </c>
      <c r="CU420" s="584" t="s">
        <v>1892</v>
      </c>
      <c r="CV420" s="585" t="s">
        <v>1893</v>
      </c>
    </row>
    <row r="421" spans="91:100" x14ac:dyDescent="0.25">
      <c r="CM421" s="582"/>
      <c r="CN421" s="584" t="s">
        <v>3049</v>
      </c>
      <c r="CO421" s="584" t="s">
        <v>1909</v>
      </c>
      <c r="CP421" s="584" t="s">
        <v>2535</v>
      </c>
      <c r="CQ421" s="584" t="s">
        <v>2560</v>
      </c>
      <c r="CR421" s="584" t="s">
        <v>2561</v>
      </c>
      <c r="CS421" s="584" t="s">
        <v>1978</v>
      </c>
      <c r="CT421" s="584" t="s">
        <v>2542</v>
      </c>
      <c r="CU421" s="584" t="s">
        <v>1892</v>
      </c>
      <c r="CV421" s="585" t="s">
        <v>1980</v>
      </c>
    </row>
    <row r="422" spans="91:100" x14ac:dyDescent="0.25">
      <c r="CM422" s="582"/>
      <c r="CN422" s="584" t="s">
        <v>3050</v>
      </c>
      <c r="CO422" s="584" t="s">
        <v>1909</v>
      </c>
      <c r="CP422" s="584" t="s">
        <v>2535</v>
      </c>
      <c r="CQ422" s="584" t="s">
        <v>3051</v>
      </c>
      <c r="CR422" s="584" t="s">
        <v>3051</v>
      </c>
      <c r="CS422" s="584" t="s">
        <v>1890</v>
      </c>
      <c r="CT422" s="584" t="s">
        <v>3008</v>
      </c>
      <c r="CU422" s="584" t="s">
        <v>1892</v>
      </c>
      <c r="CV422" s="585" t="s">
        <v>1893</v>
      </c>
    </row>
    <row r="423" spans="91:100" x14ac:dyDescent="0.25">
      <c r="CM423" s="582"/>
      <c r="CN423" s="584" t="s">
        <v>3052</v>
      </c>
      <c r="CO423" s="584" t="s">
        <v>1909</v>
      </c>
      <c r="CP423" s="584" t="s">
        <v>2535</v>
      </c>
      <c r="CQ423" s="584" t="s">
        <v>2421</v>
      </c>
      <c r="CR423" s="584" t="s">
        <v>2421</v>
      </c>
      <c r="CS423" s="584" t="s">
        <v>1890</v>
      </c>
      <c r="CT423" s="584" t="s">
        <v>3008</v>
      </c>
      <c r="CU423" s="584" t="s">
        <v>1892</v>
      </c>
      <c r="CV423" s="585" t="s">
        <v>1893</v>
      </c>
    </row>
    <row r="424" spans="91:100" x14ac:dyDescent="0.25">
      <c r="CM424" s="582"/>
      <c r="CN424" s="584" t="s">
        <v>3053</v>
      </c>
      <c r="CO424" s="584" t="s">
        <v>1909</v>
      </c>
      <c r="CP424" s="584" t="s">
        <v>2535</v>
      </c>
      <c r="CQ424" s="584" t="s">
        <v>3054</v>
      </c>
      <c r="CR424" s="584" t="s">
        <v>3054</v>
      </c>
      <c r="CS424" s="584" t="s">
        <v>1890</v>
      </c>
      <c r="CT424" s="584" t="s">
        <v>3008</v>
      </c>
      <c r="CU424" s="584" t="s">
        <v>1892</v>
      </c>
      <c r="CV424" s="585" t="s">
        <v>1893</v>
      </c>
    </row>
    <row r="425" spans="91:100" x14ac:dyDescent="0.25">
      <c r="CM425" s="582"/>
      <c r="CN425" s="584" t="s">
        <v>3055</v>
      </c>
      <c r="CO425" s="584" t="s">
        <v>1909</v>
      </c>
      <c r="CP425" s="584" t="s">
        <v>2535</v>
      </c>
      <c r="CQ425" s="584" t="s">
        <v>2445</v>
      </c>
      <c r="CR425" s="584" t="s">
        <v>2445</v>
      </c>
      <c r="CS425" s="584" t="s">
        <v>1890</v>
      </c>
      <c r="CT425" s="584" t="s">
        <v>3008</v>
      </c>
      <c r="CU425" s="584" t="s">
        <v>1892</v>
      </c>
      <c r="CV425" s="585" t="s">
        <v>1893</v>
      </c>
    </row>
    <row r="426" spans="91:100" x14ac:dyDescent="0.25">
      <c r="CM426" s="582"/>
      <c r="CN426" s="584" t="s">
        <v>3056</v>
      </c>
      <c r="CO426" s="584" t="s">
        <v>1909</v>
      </c>
      <c r="CP426" s="584" t="s">
        <v>2535</v>
      </c>
      <c r="CQ426" s="584" t="s">
        <v>3057</v>
      </c>
      <c r="CR426" s="584" t="s">
        <v>3057</v>
      </c>
      <c r="CS426" s="584" t="s">
        <v>1890</v>
      </c>
      <c r="CT426" s="584" t="s">
        <v>3008</v>
      </c>
      <c r="CU426" s="584" t="s">
        <v>1892</v>
      </c>
      <c r="CV426" s="585" t="s">
        <v>1893</v>
      </c>
    </row>
    <row r="427" spans="91:100" x14ac:dyDescent="0.25">
      <c r="CM427" s="582"/>
      <c r="CN427" s="584" t="s">
        <v>3058</v>
      </c>
      <c r="CO427" s="584" t="s">
        <v>1909</v>
      </c>
      <c r="CP427" s="584" t="s">
        <v>3059</v>
      </c>
      <c r="CQ427" s="584" t="s">
        <v>3060</v>
      </c>
      <c r="CR427" s="584" t="s">
        <v>3060</v>
      </c>
      <c r="CS427" s="584" t="s">
        <v>1978</v>
      </c>
      <c r="CT427" s="584" t="s">
        <v>3061</v>
      </c>
      <c r="CU427" s="584" t="s">
        <v>1892</v>
      </c>
      <c r="CV427" s="585" t="s">
        <v>1980</v>
      </c>
    </row>
    <row r="428" spans="91:100" x14ac:dyDescent="0.25">
      <c r="CM428" s="582"/>
      <c r="CN428" s="584" t="s">
        <v>3062</v>
      </c>
      <c r="CO428" s="584" t="s">
        <v>1909</v>
      </c>
      <c r="CP428" s="584" t="s">
        <v>3059</v>
      </c>
      <c r="CQ428" s="584" t="s">
        <v>3063</v>
      </c>
      <c r="CR428" s="584" t="s">
        <v>3064</v>
      </c>
      <c r="CS428" s="584" t="s">
        <v>1978</v>
      </c>
      <c r="CT428" s="584" t="s">
        <v>3061</v>
      </c>
      <c r="CU428" s="584" t="s">
        <v>1892</v>
      </c>
      <c r="CV428" s="585" t="s">
        <v>1980</v>
      </c>
    </row>
    <row r="429" spans="91:100" x14ac:dyDescent="0.25">
      <c r="CM429" s="582"/>
      <c r="CN429" s="584" t="s">
        <v>3065</v>
      </c>
      <c r="CO429" s="584" t="s">
        <v>1909</v>
      </c>
      <c r="CP429" s="584" t="s">
        <v>3059</v>
      </c>
      <c r="CQ429" s="584" t="s">
        <v>3066</v>
      </c>
      <c r="CR429" s="584" t="s">
        <v>3067</v>
      </c>
      <c r="CS429" s="584" t="s">
        <v>1978</v>
      </c>
      <c r="CT429" s="584" t="s">
        <v>3061</v>
      </c>
      <c r="CU429" s="584" t="s">
        <v>1892</v>
      </c>
      <c r="CV429" s="585" t="s">
        <v>1980</v>
      </c>
    </row>
    <row r="430" spans="91:100" x14ac:dyDescent="0.25">
      <c r="CM430" s="582"/>
      <c r="CN430" s="584" t="s">
        <v>3068</v>
      </c>
      <c r="CO430" s="584" t="s">
        <v>1909</v>
      </c>
      <c r="CP430" s="584" t="s">
        <v>3059</v>
      </c>
      <c r="CQ430" s="584" t="s">
        <v>3069</v>
      </c>
      <c r="CR430" s="584" t="s">
        <v>3070</v>
      </c>
      <c r="CS430" s="584" t="s">
        <v>1978</v>
      </c>
      <c r="CT430" s="584" t="s">
        <v>3061</v>
      </c>
      <c r="CU430" s="584" t="s">
        <v>1892</v>
      </c>
      <c r="CV430" s="585" t="s">
        <v>1980</v>
      </c>
    </row>
    <row r="431" spans="91:100" x14ac:dyDescent="0.25">
      <c r="CM431" s="582"/>
      <c r="CN431" s="584" t="s">
        <v>3071</v>
      </c>
      <c r="CO431" s="584" t="s">
        <v>1909</v>
      </c>
      <c r="CP431" s="584" t="s">
        <v>3059</v>
      </c>
      <c r="CQ431" s="584" t="s">
        <v>2496</v>
      </c>
      <c r="CR431" s="584" t="s">
        <v>2497</v>
      </c>
      <c r="CS431" s="584" t="s">
        <v>1978</v>
      </c>
      <c r="CT431" s="584" t="s">
        <v>3061</v>
      </c>
      <c r="CU431" s="584" t="s">
        <v>1892</v>
      </c>
      <c r="CV431" s="585" t="s">
        <v>1980</v>
      </c>
    </row>
    <row r="432" spans="91:100" x14ac:dyDescent="0.25">
      <c r="CM432" s="582"/>
      <c r="CN432" s="584" t="s">
        <v>3072</v>
      </c>
      <c r="CO432" s="584" t="s">
        <v>1909</v>
      </c>
      <c r="CP432" s="584" t="s">
        <v>3059</v>
      </c>
      <c r="CQ432" s="584" t="s">
        <v>2499</v>
      </c>
      <c r="CR432" s="584" t="s">
        <v>2500</v>
      </c>
      <c r="CS432" s="584" t="s">
        <v>1978</v>
      </c>
      <c r="CT432" s="584" t="s">
        <v>3061</v>
      </c>
      <c r="CU432" s="584" t="s">
        <v>1892</v>
      </c>
      <c r="CV432" s="585" t="s">
        <v>1980</v>
      </c>
    </row>
    <row r="433" spans="91:100" x14ac:dyDescent="0.25">
      <c r="CM433" s="582"/>
      <c r="CN433" s="584" t="s">
        <v>3073</v>
      </c>
      <c r="CO433" s="584" t="s">
        <v>1909</v>
      </c>
      <c r="CP433" s="584" t="s">
        <v>3059</v>
      </c>
      <c r="CQ433" s="584" t="s">
        <v>2508</v>
      </c>
      <c r="CR433" s="584" t="s">
        <v>2509</v>
      </c>
      <c r="CS433" s="584" t="s">
        <v>1978</v>
      </c>
      <c r="CT433" s="584" t="s">
        <v>3061</v>
      </c>
      <c r="CU433" s="584" t="s">
        <v>1892</v>
      </c>
      <c r="CV433" s="585" t="s">
        <v>1980</v>
      </c>
    </row>
    <row r="434" spans="91:100" x14ac:dyDescent="0.25">
      <c r="CM434" s="582"/>
      <c r="CN434" s="584" t="s">
        <v>3074</v>
      </c>
      <c r="CO434" s="584" t="s">
        <v>1909</v>
      </c>
      <c r="CP434" s="584" t="s">
        <v>3059</v>
      </c>
      <c r="CQ434" s="584" t="s">
        <v>3075</v>
      </c>
      <c r="CR434" s="584" t="s">
        <v>3075</v>
      </c>
      <c r="CS434" s="584" t="s">
        <v>1978</v>
      </c>
      <c r="CT434" s="584" t="s">
        <v>3061</v>
      </c>
      <c r="CU434" s="584" t="s">
        <v>1892</v>
      </c>
      <c r="CV434" s="585" t="s">
        <v>1980</v>
      </c>
    </row>
    <row r="435" spans="91:100" x14ac:dyDescent="0.25">
      <c r="CM435" s="582"/>
      <c r="CN435" s="584" t="s">
        <v>3076</v>
      </c>
      <c r="CO435" s="584" t="s">
        <v>1909</v>
      </c>
      <c r="CP435" s="584" t="s">
        <v>3059</v>
      </c>
      <c r="CQ435" s="584" t="s">
        <v>3077</v>
      </c>
      <c r="CR435" s="584" t="s">
        <v>3077</v>
      </c>
      <c r="CS435" s="584" t="s">
        <v>1978</v>
      </c>
      <c r="CT435" s="584" t="s">
        <v>3061</v>
      </c>
      <c r="CU435" s="584" t="s">
        <v>1892</v>
      </c>
      <c r="CV435" s="585" t="s">
        <v>1980</v>
      </c>
    </row>
    <row r="436" spans="91:100" ht="25.5" x14ac:dyDescent="0.25">
      <c r="CM436" s="582"/>
      <c r="CN436" s="584" t="s">
        <v>3078</v>
      </c>
      <c r="CO436" s="584" t="s">
        <v>1910</v>
      </c>
      <c r="CP436" s="584" t="s">
        <v>1888</v>
      </c>
      <c r="CQ436" s="584" t="s">
        <v>3079</v>
      </c>
      <c r="CR436" s="584" t="s">
        <v>3079</v>
      </c>
      <c r="CS436" s="584" t="s">
        <v>2583</v>
      </c>
      <c r="CT436" s="584" t="s">
        <v>2584</v>
      </c>
      <c r="CU436" s="584" t="s">
        <v>3080</v>
      </c>
      <c r="CV436" s="585" t="s">
        <v>3081</v>
      </c>
    </row>
    <row r="437" spans="91:100" ht="25.5" x14ac:dyDescent="0.25">
      <c r="CM437" s="582"/>
      <c r="CN437" s="584" t="s">
        <v>3082</v>
      </c>
      <c r="CO437" s="584" t="s">
        <v>1910</v>
      </c>
      <c r="CP437" s="584" t="s">
        <v>1888</v>
      </c>
      <c r="CQ437" s="584" t="s">
        <v>3083</v>
      </c>
      <c r="CR437" s="584" t="s">
        <v>3083</v>
      </c>
      <c r="CS437" s="584" t="s">
        <v>2583</v>
      </c>
      <c r="CT437" s="584" t="s">
        <v>2584</v>
      </c>
      <c r="CU437" s="584" t="s">
        <v>3080</v>
      </c>
      <c r="CV437" s="585" t="s">
        <v>3081</v>
      </c>
    </row>
    <row r="438" spans="91:100" ht="25.5" x14ac:dyDescent="0.25">
      <c r="CM438" s="582"/>
      <c r="CN438" s="584" t="s">
        <v>3084</v>
      </c>
      <c r="CO438" s="584" t="s">
        <v>1910</v>
      </c>
      <c r="CP438" s="584" t="s">
        <v>1888</v>
      </c>
      <c r="CQ438" s="584" t="s">
        <v>3085</v>
      </c>
      <c r="CR438" s="584" t="s">
        <v>3085</v>
      </c>
      <c r="CS438" s="584" t="s">
        <v>2583</v>
      </c>
      <c r="CT438" s="584" t="s">
        <v>2584</v>
      </c>
      <c r="CU438" s="584" t="s">
        <v>3080</v>
      </c>
      <c r="CV438" s="585" t="s">
        <v>3081</v>
      </c>
    </row>
    <row r="439" spans="91:100" ht="25.5" x14ac:dyDescent="0.25">
      <c r="CM439" s="582"/>
      <c r="CN439" s="584" t="s">
        <v>3086</v>
      </c>
      <c r="CO439" s="584" t="s">
        <v>1910</v>
      </c>
      <c r="CP439" s="584" t="s">
        <v>1888</v>
      </c>
      <c r="CQ439" s="584" t="s">
        <v>3087</v>
      </c>
      <c r="CR439" s="584" t="s">
        <v>3087</v>
      </c>
      <c r="CS439" s="584" t="s">
        <v>2583</v>
      </c>
      <c r="CT439" s="584" t="s">
        <v>2584</v>
      </c>
      <c r="CU439" s="584" t="s">
        <v>3080</v>
      </c>
      <c r="CV439" s="585" t="s">
        <v>3081</v>
      </c>
    </row>
    <row r="440" spans="91:100" ht="25.5" x14ac:dyDescent="0.25">
      <c r="CM440" s="582"/>
      <c r="CN440" s="584" t="s">
        <v>3088</v>
      </c>
      <c r="CO440" s="584" t="s">
        <v>1910</v>
      </c>
      <c r="CP440" s="584" t="s">
        <v>1888</v>
      </c>
      <c r="CQ440" s="584" t="s">
        <v>3089</v>
      </c>
      <c r="CR440" s="584" t="s">
        <v>3089</v>
      </c>
      <c r="CS440" s="584" t="s">
        <v>2583</v>
      </c>
      <c r="CT440" s="584" t="s">
        <v>2584</v>
      </c>
      <c r="CU440" s="584" t="s">
        <v>3080</v>
      </c>
      <c r="CV440" s="585" t="s">
        <v>3081</v>
      </c>
    </row>
    <row r="441" spans="91:100" ht="25.5" x14ac:dyDescent="0.25">
      <c r="CM441" s="582"/>
      <c r="CN441" s="584" t="s">
        <v>3090</v>
      </c>
      <c r="CO441" s="584" t="s">
        <v>1910</v>
      </c>
      <c r="CP441" s="584" t="s">
        <v>1888</v>
      </c>
      <c r="CQ441" s="584" t="s">
        <v>3091</v>
      </c>
      <c r="CR441" s="584" t="s">
        <v>3091</v>
      </c>
      <c r="CS441" s="584" t="s">
        <v>2583</v>
      </c>
      <c r="CT441" s="584" t="s">
        <v>2584</v>
      </c>
      <c r="CU441" s="584" t="s">
        <v>3080</v>
      </c>
      <c r="CV441" s="585" t="s">
        <v>3081</v>
      </c>
    </row>
    <row r="442" spans="91:100" ht="25.5" x14ac:dyDescent="0.25">
      <c r="CM442" s="582"/>
      <c r="CN442" s="584" t="s">
        <v>3092</v>
      </c>
      <c r="CO442" s="584" t="s">
        <v>1910</v>
      </c>
      <c r="CP442" s="584" t="s">
        <v>1888</v>
      </c>
      <c r="CQ442" s="584" t="s">
        <v>3093</v>
      </c>
      <c r="CR442" s="584" t="s">
        <v>3093</v>
      </c>
      <c r="CS442" s="584" t="s">
        <v>2583</v>
      </c>
      <c r="CT442" s="584" t="s">
        <v>2584</v>
      </c>
      <c r="CU442" s="584" t="s">
        <v>3080</v>
      </c>
      <c r="CV442" s="585" t="s">
        <v>3081</v>
      </c>
    </row>
    <row r="443" spans="91:100" ht="25.5" x14ac:dyDescent="0.25">
      <c r="CM443" s="582"/>
      <c r="CN443" s="584" t="s">
        <v>3094</v>
      </c>
      <c r="CO443" s="584" t="s">
        <v>1910</v>
      </c>
      <c r="CP443" s="584" t="s">
        <v>1888</v>
      </c>
      <c r="CQ443" s="584" t="s">
        <v>3095</v>
      </c>
      <c r="CR443" s="584" t="s">
        <v>3095</v>
      </c>
      <c r="CS443" s="584" t="s">
        <v>2583</v>
      </c>
      <c r="CT443" s="584" t="s">
        <v>2584</v>
      </c>
      <c r="CU443" s="584" t="s">
        <v>3080</v>
      </c>
      <c r="CV443" s="585" t="s">
        <v>3081</v>
      </c>
    </row>
    <row r="444" spans="91:100" ht="25.5" x14ac:dyDescent="0.25">
      <c r="CM444" s="582"/>
      <c r="CN444" s="584" t="s">
        <v>3096</v>
      </c>
      <c r="CO444" s="584" t="s">
        <v>1910</v>
      </c>
      <c r="CP444" s="584" t="s">
        <v>1888</v>
      </c>
      <c r="CQ444" s="584" t="s">
        <v>3097</v>
      </c>
      <c r="CR444" s="584" t="s">
        <v>3097</v>
      </c>
      <c r="CS444" s="584" t="s">
        <v>2583</v>
      </c>
      <c r="CT444" s="584" t="s">
        <v>2584</v>
      </c>
      <c r="CU444" s="584" t="s">
        <v>3080</v>
      </c>
      <c r="CV444" s="585" t="s">
        <v>3081</v>
      </c>
    </row>
    <row r="445" spans="91:100" ht="25.5" x14ac:dyDescent="0.25">
      <c r="CM445" s="582"/>
      <c r="CN445" s="584" t="s">
        <v>3098</v>
      </c>
      <c r="CO445" s="584" t="s">
        <v>1910</v>
      </c>
      <c r="CP445" s="584" t="s">
        <v>1888</v>
      </c>
      <c r="CQ445" s="584" t="s">
        <v>3099</v>
      </c>
      <c r="CR445" s="584" t="s">
        <v>3099</v>
      </c>
      <c r="CS445" s="584" t="s">
        <v>2583</v>
      </c>
      <c r="CT445" s="584" t="s">
        <v>2584</v>
      </c>
      <c r="CU445" s="584" t="s">
        <v>3080</v>
      </c>
      <c r="CV445" s="585" t="s">
        <v>3081</v>
      </c>
    </row>
    <row r="446" spans="91:100" ht="25.5" x14ac:dyDescent="0.25">
      <c r="CM446" s="582"/>
      <c r="CN446" s="584" t="s">
        <v>3100</v>
      </c>
      <c r="CO446" s="584" t="s">
        <v>1910</v>
      </c>
      <c r="CP446" s="584" t="s">
        <v>1888</v>
      </c>
      <c r="CQ446" s="584" t="s">
        <v>3101</v>
      </c>
      <c r="CR446" s="584" t="s">
        <v>3101</v>
      </c>
      <c r="CS446" s="584" t="s">
        <v>2583</v>
      </c>
      <c r="CT446" s="584" t="s">
        <v>2584</v>
      </c>
      <c r="CU446" s="584" t="s">
        <v>3080</v>
      </c>
      <c r="CV446" s="585" t="s">
        <v>3081</v>
      </c>
    </row>
    <row r="447" spans="91:100" ht="25.5" x14ac:dyDescent="0.25">
      <c r="CM447" s="582"/>
      <c r="CN447" s="584" t="s">
        <v>3102</v>
      </c>
      <c r="CO447" s="584" t="s">
        <v>1910</v>
      </c>
      <c r="CP447" s="584" t="s">
        <v>1888</v>
      </c>
      <c r="CQ447" s="584" t="s">
        <v>3103</v>
      </c>
      <c r="CR447" s="584" t="s">
        <v>3103</v>
      </c>
      <c r="CS447" s="584" t="s">
        <v>2583</v>
      </c>
      <c r="CT447" s="584" t="s">
        <v>2584</v>
      </c>
      <c r="CU447" s="584" t="s">
        <v>3080</v>
      </c>
      <c r="CV447" s="585" t="s">
        <v>3081</v>
      </c>
    </row>
    <row r="448" spans="91:100" ht="25.5" x14ac:dyDescent="0.25">
      <c r="CM448" s="582"/>
      <c r="CN448" s="584" t="s">
        <v>3104</v>
      </c>
      <c r="CO448" s="584" t="s">
        <v>1910</v>
      </c>
      <c r="CP448" s="584" t="s">
        <v>1888</v>
      </c>
      <c r="CQ448" s="584" t="s">
        <v>3105</v>
      </c>
      <c r="CR448" s="584" t="s">
        <v>3105</v>
      </c>
      <c r="CS448" s="584" t="s">
        <v>2583</v>
      </c>
      <c r="CT448" s="584" t="s">
        <v>2584</v>
      </c>
      <c r="CU448" s="584" t="s">
        <v>3080</v>
      </c>
      <c r="CV448" s="585" t="s">
        <v>3081</v>
      </c>
    </row>
    <row r="449" spans="91:100" ht="25.5" x14ac:dyDescent="0.25">
      <c r="CM449" s="582"/>
      <c r="CN449" s="584" t="s">
        <v>3106</v>
      </c>
      <c r="CO449" s="584" t="s">
        <v>1910</v>
      </c>
      <c r="CP449" s="584" t="s">
        <v>1888</v>
      </c>
      <c r="CQ449" s="584" t="s">
        <v>3107</v>
      </c>
      <c r="CR449" s="584" t="s">
        <v>3107</v>
      </c>
      <c r="CS449" s="584" t="s">
        <v>2583</v>
      </c>
      <c r="CT449" s="584" t="s">
        <v>2584</v>
      </c>
      <c r="CU449" s="584" t="s">
        <v>3080</v>
      </c>
      <c r="CV449" s="585" t="s">
        <v>3081</v>
      </c>
    </row>
    <row r="450" spans="91:100" ht="25.5" x14ac:dyDescent="0.25">
      <c r="CM450" s="582"/>
      <c r="CN450" s="584" t="s">
        <v>3108</v>
      </c>
      <c r="CO450" s="584" t="s">
        <v>1910</v>
      </c>
      <c r="CP450" s="584" t="s">
        <v>1888</v>
      </c>
      <c r="CQ450" s="584" t="s">
        <v>3109</v>
      </c>
      <c r="CR450" s="584" t="s">
        <v>3109</v>
      </c>
      <c r="CS450" s="584" t="s">
        <v>2583</v>
      </c>
      <c r="CT450" s="584" t="s">
        <v>2584</v>
      </c>
      <c r="CU450" s="584" t="s">
        <v>3080</v>
      </c>
      <c r="CV450" s="585" t="s">
        <v>3081</v>
      </c>
    </row>
    <row r="451" spans="91:100" ht="25.5" x14ac:dyDescent="0.25">
      <c r="CM451" s="582"/>
      <c r="CN451" s="584" t="s">
        <v>3110</v>
      </c>
      <c r="CO451" s="584" t="s">
        <v>1910</v>
      </c>
      <c r="CP451" s="584" t="s">
        <v>1888</v>
      </c>
      <c r="CQ451" s="584" t="s">
        <v>3111</v>
      </c>
      <c r="CR451" s="584" t="s">
        <v>3111</v>
      </c>
      <c r="CS451" s="584" t="s">
        <v>2583</v>
      </c>
      <c r="CT451" s="584" t="s">
        <v>2584</v>
      </c>
      <c r="CU451" s="584" t="s">
        <v>3080</v>
      </c>
      <c r="CV451" s="585" t="s">
        <v>3081</v>
      </c>
    </row>
    <row r="452" spans="91:100" ht="25.5" x14ac:dyDescent="0.25">
      <c r="CM452" s="582"/>
      <c r="CN452" s="584" t="s">
        <v>3112</v>
      </c>
      <c r="CO452" s="584" t="s">
        <v>1910</v>
      </c>
      <c r="CP452" s="584" t="s">
        <v>1888</v>
      </c>
      <c r="CQ452" s="584" t="s">
        <v>3113</v>
      </c>
      <c r="CR452" s="584" t="s">
        <v>3113</v>
      </c>
      <c r="CS452" s="584" t="s">
        <v>2583</v>
      </c>
      <c r="CT452" s="584" t="s">
        <v>2584</v>
      </c>
      <c r="CU452" s="584" t="s">
        <v>3080</v>
      </c>
      <c r="CV452" s="585" t="s">
        <v>3081</v>
      </c>
    </row>
    <row r="453" spans="91:100" ht="25.5" x14ac:dyDescent="0.25">
      <c r="CM453" s="582"/>
      <c r="CN453" s="584" t="s">
        <v>3114</v>
      </c>
      <c r="CO453" s="584" t="s">
        <v>1910</v>
      </c>
      <c r="CP453" s="584" t="s">
        <v>1888</v>
      </c>
      <c r="CQ453" s="584" t="s">
        <v>3115</v>
      </c>
      <c r="CR453" s="584" t="s">
        <v>3115</v>
      </c>
      <c r="CS453" s="584" t="s">
        <v>2583</v>
      </c>
      <c r="CT453" s="584" t="s">
        <v>2584</v>
      </c>
      <c r="CU453" s="584" t="s">
        <v>3080</v>
      </c>
      <c r="CV453" s="585" t="s">
        <v>3081</v>
      </c>
    </row>
    <row r="454" spans="91:100" ht="25.5" x14ac:dyDescent="0.25">
      <c r="CM454" s="582"/>
      <c r="CN454" s="584" t="s">
        <v>3116</v>
      </c>
      <c r="CO454" s="584" t="s">
        <v>1910</v>
      </c>
      <c r="CP454" s="584" t="s">
        <v>1888</v>
      </c>
      <c r="CQ454" s="584" t="s">
        <v>3117</v>
      </c>
      <c r="CR454" s="584" t="s">
        <v>3117</v>
      </c>
      <c r="CS454" s="584" t="s">
        <v>2583</v>
      </c>
      <c r="CT454" s="584" t="s">
        <v>2584</v>
      </c>
      <c r="CU454" s="584" t="s">
        <v>3080</v>
      </c>
      <c r="CV454" s="585" t="s">
        <v>3081</v>
      </c>
    </row>
    <row r="455" spans="91:100" ht="25.5" x14ac:dyDescent="0.25">
      <c r="CM455" s="582"/>
      <c r="CN455" s="584" t="s">
        <v>3118</v>
      </c>
      <c r="CO455" s="584" t="s">
        <v>1910</v>
      </c>
      <c r="CP455" s="584" t="s">
        <v>1888</v>
      </c>
      <c r="CQ455" s="584" t="s">
        <v>3119</v>
      </c>
      <c r="CR455" s="584" t="s">
        <v>3119</v>
      </c>
      <c r="CS455" s="584" t="s">
        <v>2583</v>
      </c>
      <c r="CT455" s="584" t="s">
        <v>2584</v>
      </c>
      <c r="CU455" s="584" t="s">
        <v>3080</v>
      </c>
      <c r="CV455" s="585" t="s">
        <v>3081</v>
      </c>
    </row>
    <row r="456" spans="91:100" ht="25.5" x14ac:dyDescent="0.25">
      <c r="CM456" s="582"/>
      <c r="CN456" s="584" t="s">
        <v>3120</v>
      </c>
      <c r="CO456" s="584" t="s">
        <v>1910</v>
      </c>
      <c r="CP456" s="584" t="s">
        <v>1888</v>
      </c>
      <c r="CQ456" s="584" t="s">
        <v>3121</v>
      </c>
      <c r="CR456" s="584" t="s">
        <v>3121</v>
      </c>
      <c r="CS456" s="584" t="s">
        <v>2583</v>
      </c>
      <c r="CT456" s="584" t="s">
        <v>2584</v>
      </c>
      <c r="CU456" s="584" t="s">
        <v>3080</v>
      </c>
      <c r="CV456" s="585" t="s">
        <v>3081</v>
      </c>
    </row>
    <row r="457" spans="91:100" ht="25.5" x14ac:dyDescent="0.25">
      <c r="CM457" s="582"/>
      <c r="CN457" s="584" t="s">
        <v>3122</v>
      </c>
      <c r="CO457" s="584" t="s">
        <v>1910</v>
      </c>
      <c r="CP457" s="584" t="s">
        <v>1888</v>
      </c>
      <c r="CQ457" s="584" t="s">
        <v>3123</v>
      </c>
      <c r="CR457" s="584" t="s">
        <v>3123</v>
      </c>
      <c r="CS457" s="584" t="s">
        <v>2583</v>
      </c>
      <c r="CT457" s="584" t="s">
        <v>2584</v>
      </c>
      <c r="CU457" s="584" t="s">
        <v>3080</v>
      </c>
      <c r="CV457" s="585" t="s">
        <v>3081</v>
      </c>
    </row>
    <row r="458" spans="91:100" ht="25.5" x14ac:dyDescent="0.25">
      <c r="CM458" s="582"/>
      <c r="CN458" s="584" t="s">
        <v>3124</v>
      </c>
      <c r="CO458" s="584" t="s">
        <v>1910</v>
      </c>
      <c r="CP458" s="584" t="s">
        <v>1888</v>
      </c>
      <c r="CQ458" s="584" t="s">
        <v>3125</v>
      </c>
      <c r="CR458" s="584" t="s">
        <v>3125</v>
      </c>
      <c r="CS458" s="584" t="s">
        <v>2583</v>
      </c>
      <c r="CT458" s="584" t="s">
        <v>2584</v>
      </c>
      <c r="CU458" s="584" t="s">
        <v>3080</v>
      </c>
      <c r="CV458" s="585" t="s">
        <v>3081</v>
      </c>
    </row>
    <row r="459" spans="91:100" ht="25.5" x14ac:dyDescent="0.25">
      <c r="CM459" s="582"/>
      <c r="CN459" s="584" t="s">
        <v>3126</v>
      </c>
      <c r="CO459" s="584" t="s">
        <v>1910</v>
      </c>
      <c r="CP459" s="584" t="s">
        <v>1888</v>
      </c>
      <c r="CQ459" s="584" t="s">
        <v>3127</v>
      </c>
      <c r="CR459" s="584" t="s">
        <v>3127</v>
      </c>
      <c r="CS459" s="584" t="s">
        <v>2583</v>
      </c>
      <c r="CT459" s="584" t="s">
        <v>2584</v>
      </c>
      <c r="CU459" s="584" t="s">
        <v>3080</v>
      </c>
      <c r="CV459" s="585" t="s">
        <v>3081</v>
      </c>
    </row>
    <row r="460" spans="91:100" ht="25.5" x14ac:dyDescent="0.25">
      <c r="CM460" s="582"/>
      <c r="CN460" s="584" t="s">
        <v>3128</v>
      </c>
      <c r="CO460" s="584" t="s">
        <v>1910</v>
      </c>
      <c r="CP460" s="584" t="s">
        <v>1888</v>
      </c>
      <c r="CQ460" s="584" t="s">
        <v>3129</v>
      </c>
      <c r="CR460" s="584" t="s">
        <v>3129</v>
      </c>
      <c r="CS460" s="584" t="s">
        <v>2583</v>
      </c>
      <c r="CT460" s="584" t="s">
        <v>2584</v>
      </c>
      <c r="CU460" s="584" t="s">
        <v>3080</v>
      </c>
      <c r="CV460" s="585" t="s">
        <v>3081</v>
      </c>
    </row>
    <row r="461" spans="91:100" ht="25.5" x14ac:dyDescent="0.25">
      <c r="CM461" s="582"/>
      <c r="CN461" s="584" t="s">
        <v>3130</v>
      </c>
      <c r="CO461" s="584" t="s">
        <v>1910</v>
      </c>
      <c r="CP461" s="584" t="s">
        <v>1888</v>
      </c>
      <c r="CQ461" s="584" t="s">
        <v>3131</v>
      </c>
      <c r="CR461" s="584" t="s">
        <v>3131</v>
      </c>
      <c r="CS461" s="584" t="s">
        <v>2583</v>
      </c>
      <c r="CT461" s="584" t="s">
        <v>2584</v>
      </c>
      <c r="CU461" s="584" t="s">
        <v>3080</v>
      </c>
      <c r="CV461" s="585" t="s">
        <v>3081</v>
      </c>
    </row>
    <row r="462" spans="91:100" ht="25.5" x14ac:dyDescent="0.25">
      <c r="CM462" s="582"/>
      <c r="CN462" s="584" t="s">
        <v>3132</v>
      </c>
      <c r="CO462" s="584" t="s">
        <v>1910</v>
      </c>
      <c r="CP462" s="584" t="s">
        <v>1888</v>
      </c>
      <c r="CQ462" s="584" t="s">
        <v>3133</v>
      </c>
      <c r="CR462" s="584" t="s">
        <v>3133</v>
      </c>
      <c r="CS462" s="584" t="s">
        <v>2583</v>
      </c>
      <c r="CT462" s="584" t="s">
        <v>2584</v>
      </c>
      <c r="CU462" s="584" t="s">
        <v>3080</v>
      </c>
      <c r="CV462" s="585" t="s">
        <v>3081</v>
      </c>
    </row>
    <row r="463" spans="91:100" ht="25.5" x14ac:dyDescent="0.25">
      <c r="CM463" s="582"/>
      <c r="CN463" s="584" t="s">
        <v>3134</v>
      </c>
      <c r="CO463" s="584" t="s">
        <v>1910</v>
      </c>
      <c r="CP463" s="584" t="s">
        <v>1888</v>
      </c>
      <c r="CQ463" s="584" t="s">
        <v>3135</v>
      </c>
      <c r="CR463" s="584" t="s">
        <v>3135</v>
      </c>
      <c r="CS463" s="584" t="s">
        <v>2583</v>
      </c>
      <c r="CT463" s="584" t="s">
        <v>2584</v>
      </c>
      <c r="CU463" s="584" t="s">
        <v>3080</v>
      </c>
      <c r="CV463" s="585" t="s">
        <v>3081</v>
      </c>
    </row>
    <row r="464" spans="91:100" ht="25.5" x14ac:dyDescent="0.25">
      <c r="CM464" s="582"/>
      <c r="CN464" s="584" t="s">
        <v>3136</v>
      </c>
      <c r="CO464" s="584" t="s">
        <v>1910</v>
      </c>
      <c r="CP464" s="584" t="s">
        <v>1888</v>
      </c>
      <c r="CQ464" s="584" t="s">
        <v>3137</v>
      </c>
      <c r="CR464" s="584" t="s">
        <v>3137</v>
      </c>
      <c r="CS464" s="584" t="s">
        <v>2583</v>
      </c>
      <c r="CT464" s="584" t="s">
        <v>2584</v>
      </c>
      <c r="CU464" s="584" t="s">
        <v>3080</v>
      </c>
      <c r="CV464" s="585" t="s">
        <v>3081</v>
      </c>
    </row>
    <row r="465" spans="91:100" ht="25.5" x14ac:dyDescent="0.25">
      <c r="CM465" s="582"/>
      <c r="CN465" s="584" t="s">
        <v>3138</v>
      </c>
      <c r="CO465" s="584" t="s">
        <v>1910</v>
      </c>
      <c r="CP465" s="584" t="s">
        <v>1888</v>
      </c>
      <c r="CQ465" s="584" t="s">
        <v>3139</v>
      </c>
      <c r="CR465" s="584" t="s">
        <v>3139</v>
      </c>
      <c r="CS465" s="584" t="s">
        <v>2583</v>
      </c>
      <c r="CT465" s="584" t="s">
        <v>2584</v>
      </c>
      <c r="CU465" s="584" t="s">
        <v>3080</v>
      </c>
      <c r="CV465" s="585" t="s">
        <v>3081</v>
      </c>
    </row>
    <row r="466" spans="91:100" ht="25.5" x14ac:dyDescent="0.25">
      <c r="CM466" s="582"/>
      <c r="CN466" s="584" t="s">
        <v>3140</v>
      </c>
      <c r="CO466" s="584" t="s">
        <v>1910</v>
      </c>
      <c r="CP466" s="584" t="s">
        <v>1888</v>
      </c>
      <c r="CQ466" s="584" t="s">
        <v>3141</v>
      </c>
      <c r="CR466" s="584" t="s">
        <v>3141</v>
      </c>
      <c r="CS466" s="584" t="s">
        <v>2583</v>
      </c>
      <c r="CT466" s="584" t="s">
        <v>2584</v>
      </c>
      <c r="CU466" s="584" t="s">
        <v>3080</v>
      </c>
      <c r="CV466" s="585" t="s">
        <v>3081</v>
      </c>
    </row>
    <row r="467" spans="91:100" ht="25.5" x14ac:dyDescent="0.25">
      <c r="CM467" s="582"/>
      <c r="CN467" s="584" t="s">
        <v>3142</v>
      </c>
      <c r="CO467" s="584" t="s">
        <v>1910</v>
      </c>
      <c r="CP467" s="584" t="s">
        <v>1888</v>
      </c>
      <c r="CQ467" s="584" t="s">
        <v>3143</v>
      </c>
      <c r="CR467" s="584" t="s">
        <v>3143</v>
      </c>
      <c r="CS467" s="584" t="s">
        <v>2583</v>
      </c>
      <c r="CT467" s="584" t="s">
        <v>2584</v>
      </c>
      <c r="CU467" s="584" t="s">
        <v>3080</v>
      </c>
      <c r="CV467" s="585" t="s">
        <v>3081</v>
      </c>
    </row>
    <row r="468" spans="91:100" ht="25.5" x14ac:dyDescent="0.25">
      <c r="CM468" s="582"/>
      <c r="CN468" s="584" t="s">
        <v>3144</v>
      </c>
      <c r="CO468" s="584" t="s">
        <v>1910</v>
      </c>
      <c r="CP468" s="584" t="s">
        <v>1888</v>
      </c>
      <c r="CQ468" s="584" t="s">
        <v>3145</v>
      </c>
      <c r="CR468" s="584" t="s">
        <v>3145</v>
      </c>
      <c r="CS468" s="584" t="s">
        <v>2583</v>
      </c>
      <c r="CT468" s="584" t="s">
        <v>2584</v>
      </c>
      <c r="CU468" s="584" t="s">
        <v>3080</v>
      </c>
      <c r="CV468" s="585" t="s">
        <v>3081</v>
      </c>
    </row>
    <row r="469" spans="91:100" ht="25.5" x14ac:dyDescent="0.25">
      <c r="CM469" s="582"/>
      <c r="CN469" s="584" t="s">
        <v>3146</v>
      </c>
      <c r="CO469" s="584" t="s">
        <v>1910</v>
      </c>
      <c r="CP469" s="584" t="s">
        <v>1888</v>
      </c>
      <c r="CQ469" s="584" t="s">
        <v>3147</v>
      </c>
      <c r="CR469" s="584" t="s">
        <v>3147</v>
      </c>
      <c r="CS469" s="584" t="s">
        <v>2583</v>
      </c>
      <c r="CT469" s="584" t="s">
        <v>2584</v>
      </c>
      <c r="CU469" s="584" t="s">
        <v>3080</v>
      </c>
      <c r="CV469" s="585" t="s">
        <v>3081</v>
      </c>
    </row>
    <row r="470" spans="91:100" ht="25.5" x14ac:dyDescent="0.25">
      <c r="CM470" s="582"/>
      <c r="CN470" s="584" t="s">
        <v>3148</v>
      </c>
      <c r="CO470" s="584" t="s">
        <v>1910</v>
      </c>
      <c r="CP470" s="584" t="s">
        <v>1888</v>
      </c>
      <c r="CQ470" s="584" t="s">
        <v>3149</v>
      </c>
      <c r="CR470" s="584" t="s">
        <v>3149</v>
      </c>
      <c r="CS470" s="584" t="s">
        <v>2583</v>
      </c>
      <c r="CT470" s="584" t="s">
        <v>2584</v>
      </c>
      <c r="CU470" s="584" t="s">
        <v>3080</v>
      </c>
      <c r="CV470" s="585" t="s">
        <v>3081</v>
      </c>
    </row>
    <row r="471" spans="91:100" ht="25.5" x14ac:dyDescent="0.25">
      <c r="CM471" s="582"/>
      <c r="CN471" s="584" t="s">
        <v>3150</v>
      </c>
      <c r="CO471" s="584" t="s">
        <v>1910</v>
      </c>
      <c r="CP471" s="584" t="s">
        <v>1888</v>
      </c>
      <c r="CQ471" s="584" t="s">
        <v>3151</v>
      </c>
      <c r="CR471" s="584" t="s">
        <v>3151</v>
      </c>
      <c r="CS471" s="584" t="s">
        <v>2583</v>
      </c>
      <c r="CT471" s="584" t="s">
        <v>2584</v>
      </c>
      <c r="CU471" s="584" t="s">
        <v>3080</v>
      </c>
      <c r="CV471" s="585" t="s">
        <v>3081</v>
      </c>
    </row>
    <row r="472" spans="91:100" ht="25.5" x14ac:dyDescent="0.25">
      <c r="CM472" s="582"/>
      <c r="CN472" s="584" t="s">
        <v>3152</v>
      </c>
      <c r="CO472" s="584" t="s">
        <v>1910</v>
      </c>
      <c r="CP472" s="584" t="s">
        <v>1888</v>
      </c>
      <c r="CQ472" s="584" t="s">
        <v>3153</v>
      </c>
      <c r="CR472" s="584" t="s">
        <v>3153</v>
      </c>
      <c r="CS472" s="584" t="s">
        <v>2583</v>
      </c>
      <c r="CT472" s="584" t="s">
        <v>2584</v>
      </c>
      <c r="CU472" s="584" t="s">
        <v>3080</v>
      </c>
      <c r="CV472" s="585" t="s">
        <v>3081</v>
      </c>
    </row>
    <row r="473" spans="91:100" ht="25.5" x14ac:dyDescent="0.25">
      <c r="CM473" s="582"/>
      <c r="CN473" s="584" t="s">
        <v>3154</v>
      </c>
      <c r="CO473" s="584" t="s">
        <v>1910</v>
      </c>
      <c r="CP473" s="584" t="s">
        <v>1888</v>
      </c>
      <c r="CQ473" s="584" t="s">
        <v>3155</v>
      </c>
      <c r="CR473" s="584" t="s">
        <v>3155</v>
      </c>
      <c r="CS473" s="584" t="s">
        <v>2583</v>
      </c>
      <c r="CT473" s="584" t="s">
        <v>2584</v>
      </c>
      <c r="CU473" s="584" t="s">
        <v>3080</v>
      </c>
      <c r="CV473" s="585" t="s">
        <v>3081</v>
      </c>
    </row>
    <row r="474" spans="91:100" ht="25.5" x14ac:dyDescent="0.25">
      <c r="CM474" s="582"/>
      <c r="CN474" s="584" t="s">
        <v>3156</v>
      </c>
      <c r="CO474" s="584" t="s">
        <v>1910</v>
      </c>
      <c r="CP474" s="584" t="s">
        <v>1888</v>
      </c>
      <c r="CQ474" s="584" t="s">
        <v>3157</v>
      </c>
      <c r="CR474" s="584" t="s">
        <v>3157</v>
      </c>
      <c r="CS474" s="584" t="s">
        <v>2583</v>
      </c>
      <c r="CT474" s="584" t="s">
        <v>2584</v>
      </c>
      <c r="CU474" s="584" t="s">
        <v>3080</v>
      </c>
      <c r="CV474" s="585" t="s">
        <v>3081</v>
      </c>
    </row>
    <row r="475" spans="91:100" ht="25.5" x14ac:dyDescent="0.25">
      <c r="CM475" s="582"/>
      <c r="CN475" s="584" t="s">
        <v>3158</v>
      </c>
      <c r="CO475" s="584" t="s">
        <v>1910</v>
      </c>
      <c r="CP475" s="584" t="s">
        <v>1888</v>
      </c>
      <c r="CQ475" s="584" t="s">
        <v>3159</v>
      </c>
      <c r="CR475" s="584" t="s">
        <v>3159</v>
      </c>
      <c r="CS475" s="584" t="s">
        <v>2583</v>
      </c>
      <c r="CT475" s="584" t="s">
        <v>2584</v>
      </c>
      <c r="CU475" s="584" t="s">
        <v>3080</v>
      </c>
      <c r="CV475" s="585" t="s">
        <v>3081</v>
      </c>
    </row>
    <row r="476" spans="91:100" x14ac:dyDescent="0.25">
      <c r="CM476" s="582"/>
      <c r="CN476" s="584" t="s">
        <v>3160</v>
      </c>
      <c r="CO476" s="584" t="s">
        <v>1910</v>
      </c>
      <c r="CP476" s="584" t="s">
        <v>1888</v>
      </c>
      <c r="CQ476" s="584" t="s">
        <v>3161</v>
      </c>
      <c r="CR476" s="584" t="s">
        <v>3162</v>
      </c>
      <c r="CS476" s="584" t="s">
        <v>1890</v>
      </c>
      <c r="CT476" s="584" t="s">
        <v>3163</v>
      </c>
      <c r="CU476" s="584" t="s">
        <v>1892</v>
      </c>
      <c r="CV476" s="585" t="s">
        <v>1893</v>
      </c>
    </row>
    <row r="477" spans="91:100" ht="25.5" x14ac:dyDescent="0.25">
      <c r="CM477" s="582"/>
      <c r="CN477" s="584" t="s">
        <v>3164</v>
      </c>
      <c r="CO477" s="584" t="s">
        <v>1910</v>
      </c>
      <c r="CP477" s="584" t="s">
        <v>1888</v>
      </c>
      <c r="CQ477" s="584" t="s">
        <v>3165</v>
      </c>
      <c r="CR477" s="584" t="s">
        <v>3165</v>
      </c>
      <c r="CS477" s="584" t="s">
        <v>2583</v>
      </c>
      <c r="CT477" s="584" t="s">
        <v>2584</v>
      </c>
      <c r="CU477" s="584" t="s">
        <v>3080</v>
      </c>
      <c r="CV477" s="585" t="s">
        <v>3081</v>
      </c>
    </row>
    <row r="478" spans="91:100" ht="25.5" x14ac:dyDescent="0.25">
      <c r="CM478" s="582"/>
      <c r="CN478" s="584" t="s">
        <v>3166</v>
      </c>
      <c r="CO478" s="584" t="s">
        <v>1910</v>
      </c>
      <c r="CP478" s="584" t="s">
        <v>1888</v>
      </c>
      <c r="CQ478" s="584" t="s">
        <v>3167</v>
      </c>
      <c r="CR478" s="584" t="s">
        <v>3167</v>
      </c>
      <c r="CS478" s="584" t="s">
        <v>2583</v>
      </c>
      <c r="CT478" s="584" t="s">
        <v>2584</v>
      </c>
      <c r="CU478" s="584" t="s">
        <v>3080</v>
      </c>
      <c r="CV478" s="585" t="s">
        <v>3081</v>
      </c>
    </row>
    <row r="479" spans="91:100" ht="25.5" x14ac:dyDescent="0.25">
      <c r="CM479" s="582"/>
      <c r="CN479" s="584" t="s">
        <v>3168</v>
      </c>
      <c r="CO479" s="584" t="s">
        <v>1910</v>
      </c>
      <c r="CP479" s="584" t="s">
        <v>1888</v>
      </c>
      <c r="CQ479" s="584" t="s">
        <v>3169</v>
      </c>
      <c r="CR479" s="584" t="s">
        <v>3169</v>
      </c>
      <c r="CS479" s="584" t="s">
        <v>2583</v>
      </c>
      <c r="CT479" s="584" t="s">
        <v>2584</v>
      </c>
      <c r="CU479" s="584" t="s">
        <v>3080</v>
      </c>
      <c r="CV479" s="585" t="s">
        <v>3081</v>
      </c>
    </row>
    <row r="480" spans="91:100" ht="25.5" x14ac:dyDescent="0.25">
      <c r="CM480" s="582"/>
      <c r="CN480" s="584" t="s">
        <v>3170</v>
      </c>
      <c r="CO480" s="584" t="s">
        <v>1910</v>
      </c>
      <c r="CP480" s="584" t="s">
        <v>1888</v>
      </c>
      <c r="CQ480" s="584" t="s">
        <v>3171</v>
      </c>
      <c r="CR480" s="584" t="s">
        <v>3171</v>
      </c>
      <c r="CS480" s="584" t="s">
        <v>2583</v>
      </c>
      <c r="CT480" s="584" t="s">
        <v>2584</v>
      </c>
      <c r="CU480" s="584" t="s">
        <v>3080</v>
      </c>
      <c r="CV480" s="585" t="s">
        <v>3081</v>
      </c>
    </row>
    <row r="481" spans="91:100" ht="25.5" x14ac:dyDescent="0.25">
      <c r="CM481" s="582"/>
      <c r="CN481" s="584" t="s">
        <v>3172</v>
      </c>
      <c r="CO481" s="584" t="s">
        <v>1910</v>
      </c>
      <c r="CP481" s="584" t="s">
        <v>1888</v>
      </c>
      <c r="CQ481" s="584" t="s">
        <v>3173</v>
      </c>
      <c r="CR481" s="584" t="s">
        <v>3173</v>
      </c>
      <c r="CS481" s="584" t="s">
        <v>2583</v>
      </c>
      <c r="CT481" s="584" t="s">
        <v>2584</v>
      </c>
      <c r="CU481" s="584" t="s">
        <v>3080</v>
      </c>
      <c r="CV481" s="585" t="s">
        <v>3081</v>
      </c>
    </row>
    <row r="482" spans="91:100" ht="25.5" x14ac:dyDescent="0.25">
      <c r="CM482" s="582"/>
      <c r="CN482" s="584" t="s">
        <v>3174</v>
      </c>
      <c r="CO482" s="584" t="s">
        <v>1910</v>
      </c>
      <c r="CP482" s="584" t="s">
        <v>1888</v>
      </c>
      <c r="CQ482" s="584" t="s">
        <v>3175</v>
      </c>
      <c r="CR482" s="584" t="s">
        <v>3175</v>
      </c>
      <c r="CS482" s="584" t="s">
        <v>2583</v>
      </c>
      <c r="CT482" s="584" t="s">
        <v>2584</v>
      </c>
      <c r="CU482" s="584" t="s">
        <v>3080</v>
      </c>
      <c r="CV482" s="585" t="s">
        <v>3081</v>
      </c>
    </row>
    <row r="483" spans="91:100" ht="25.5" x14ac:dyDescent="0.25">
      <c r="CM483" s="582"/>
      <c r="CN483" s="584" t="s">
        <v>3176</v>
      </c>
      <c r="CO483" s="584" t="s">
        <v>1910</v>
      </c>
      <c r="CP483" s="584" t="s">
        <v>1888</v>
      </c>
      <c r="CQ483" s="584" t="s">
        <v>3177</v>
      </c>
      <c r="CR483" s="584" t="s">
        <v>3177</v>
      </c>
      <c r="CS483" s="584" t="s">
        <v>2583</v>
      </c>
      <c r="CT483" s="584" t="s">
        <v>2584</v>
      </c>
      <c r="CU483" s="584" t="s">
        <v>3080</v>
      </c>
      <c r="CV483" s="585" t="s">
        <v>3081</v>
      </c>
    </row>
    <row r="484" spans="91:100" x14ac:dyDescent="0.25">
      <c r="CM484" s="582"/>
      <c r="CN484" s="584" t="s">
        <v>3178</v>
      </c>
      <c r="CO484" s="584" t="s">
        <v>1910</v>
      </c>
      <c r="CP484" s="584" t="s">
        <v>1888</v>
      </c>
      <c r="CQ484" s="584" t="s">
        <v>3179</v>
      </c>
      <c r="CR484" s="584" t="s">
        <v>3179</v>
      </c>
      <c r="CS484" s="584" t="s">
        <v>1978</v>
      </c>
      <c r="CT484" s="584" t="s">
        <v>1979</v>
      </c>
      <c r="CU484" s="584" t="s">
        <v>1892</v>
      </c>
      <c r="CV484" s="585" t="s">
        <v>1980</v>
      </c>
    </row>
    <row r="485" spans="91:100" x14ac:dyDescent="0.25">
      <c r="CM485" s="582"/>
      <c r="CN485" s="584" t="s">
        <v>3180</v>
      </c>
      <c r="CO485" s="584" t="s">
        <v>1910</v>
      </c>
      <c r="CP485" s="584" t="s">
        <v>1888</v>
      </c>
      <c r="CQ485" s="584" t="s">
        <v>3181</v>
      </c>
      <c r="CR485" s="584" t="s">
        <v>3181</v>
      </c>
      <c r="CS485" s="584" t="s">
        <v>1978</v>
      </c>
      <c r="CT485" s="584" t="s">
        <v>1979</v>
      </c>
      <c r="CU485" s="584" t="s">
        <v>1892</v>
      </c>
      <c r="CV485" s="585" t="s">
        <v>1980</v>
      </c>
    </row>
    <row r="486" spans="91:100" ht="25.5" x14ac:dyDescent="0.25">
      <c r="CM486" s="582"/>
      <c r="CN486" s="584" t="s">
        <v>3182</v>
      </c>
      <c r="CO486" s="584" t="s">
        <v>1910</v>
      </c>
      <c r="CP486" s="584" t="s">
        <v>1888</v>
      </c>
      <c r="CQ486" s="584" t="s">
        <v>3183</v>
      </c>
      <c r="CR486" s="584" t="s">
        <v>3183</v>
      </c>
      <c r="CS486" s="584" t="s">
        <v>2583</v>
      </c>
      <c r="CT486" s="584" t="s">
        <v>2584</v>
      </c>
      <c r="CU486" s="584" t="s">
        <v>3080</v>
      </c>
      <c r="CV486" s="585" t="s">
        <v>3081</v>
      </c>
    </row>
    <row r="487" spans="91:100" ht="25.5" x14ac:dyDescent="0.25">
      <c r="CM487" s="582"/>
      <c r="CN487" s="584" t="s">
        <v>3184</v>
      </c>
      <c r="CO487" s="584" t="s">
        <v>1910</v>
      </c>
      <c r="CP487" s="584" t="s">
        <v>1888</v>
      </c>
      <c r="CQ487" s="584" t="s">
        <v>3185</v>
      </c>
      <c r="CR487" s="584" t="s">
        <v>3185</v>
      </c>
      <c r="CS487" s="584" t="s">
        <v>2583</v>
      </c>
      <c r="CT487" s="584" t="s">
        <v>2584</v>
      </c>
      <c r="CU487" s="584" t="s">
        <v>3080</v>
      </c>
      <c r="CV487" s="585" t="s">
        <v>3081</v>
      </c>
    </row>
    <row r="488" spans="91:100" ht="25.5" x14ac:dyDescent="0.25">
      <c r="CM488" s="582"/>
      <c r="CN488" s="584" t="s">
        <v>3186</v>
      </c>
      <c r="CO488" s="584" t="s">
        <v>1910</v>
      </c>
      <c r="CP488" s="584" t="s">
        <v>1888</v>
      </c>
      <c r="CQ488" s="584" t="s">
        <v>3187</v>
      </c>
      <c r="CR488" s="584" t="s">
        <v>3187</v>
      </c>
      <c r="CS488" s="584" t="s">
        <v>2583</v>
      </c>
      <c r="CT488" s="584" t="s">
        <v>2584</v>
      </c>
      <c r="CU488" s="584" t="s">
        <v>3080</v>
      </c>
      <c r="CV488" s="585" t="s">
        <v>3081</v>
      </c>
    </row>
    <row r="489" spans="91:100" ht="25.5" x14ac:dyDescent="0.25">
      <c r="CM489" s="582"/>
      <c r="CN489" s="584" t="s">
        <v>3188</v>
      </c>
      <c r="CO489" s="584" t="s">
        <v>1910</v>
      </c>
      <c r="CP489" s="584" t="s">
        <v>1888</v>
      </c>
      <c r="CQ489" s="584" t="s">
        <v>3189</v>
      </c>
      <c r="CR489" s="584" t="s">
        <v>3189</v>
      </c>
      <c r="CS489" s="584" t="s">
        <v>2583</v>
      </c>
      <c r="CT489" s="584" t="s">
        <v>2584</v>
      </c>
      <c r="CU489" s="584" t="s">
        <v>3080</v>
      </c>
      <c r="CV489" s="585" t="s">
        <v>3081</v>
      </c>
    </row>
    <row r="490" spans="91:100" ht="25.5" x14ac:dyDescent="0.25">
      <c r="CM490" s="582"/>
      <c r="CN490" s="584" t="s">
        <v>3190</v>
      </c>
      <c r="CO490" s="584" t="s">
        <v>1910</v>
      </c>
      <c r="CP490" s="584" t="s">
        <v>1888</v>
      </c>
      <c r="CQ490" s="584" t="s">
        <v>3191</v>
      </c>
      <c r="CR490" s="584" t="s">
        <v>3191</v>
      </c>
      <c r="CS490" s="584" t="s">
        <v>2583</v>
      </c>
      <c r="CT490" s="584" t="s">
        <v>2584</v>
      </c>
      <c r="CU490" s="584" t="s">
        <v>3080</v>
      </c>
      <c r="CV490" s="585" t="s">
        <v>3081</v>
      </c>
    </row>
    <row r="491" spans="91:100" ht="25.5" x14ac:dyDescent="0.25">
      <c r="CM491" s="582"/>
      <c r="CN491" s="584" t="s">
        <v>3192</v>
      </c>
      <c r="CO491" s="584" t="s">
        <v>1910</v>
      </c>
      <c r="CP491" s="584" t="s">
        <v>1888</v>
      </c>
      <c r="CQ491" s="584" t="s">
        <v>3193</v>
      </c>
      <c r="CR491" s="584" t="s">
        <v>3193</v>
      </c>
      <c r="CS491" s="584" t="s">
        <v>2583</v>
      </c>
      <c r="CT491" s="584" t="s">
        <v>2584</v>
      </c>
      <c r="CU491" s="584" t="s">
        <v>3080</v>
      </c>
      <c r="CV491" s="585" t="s">
        <v>3081</v>
      </c>
    </row>
    <row r="492" spans="91:100" ht="25.5" x14ac:dyDescent="0.25">
      <c r="CM492" s="582"/>
      <c r="CN492" s="584" t="s">
        <v>3194</v>
      </c>
      <c r="CO492" s="584" t="s">
        <v>1910</v>
      </c>
      <c r="CP492" s="584" t="s">
        <v>1888</v>
      </c>
      <c r="CQ492" s="584" t="s">
        <v>3195</v>
      </c>
      <c r="CR492" s="584" t="s">
        <v>3195</v>
      </c>
      <c r="CS492" s="584" t="s">
        <v>2583</v>
      </c>
      <c r="CT492" s="584" t="s">
        <v>2584</v>
      </c>
      <c r="CU492" s="584" t="s">
        <v>3080</v>
      </c>
      <c r="CV492" s="585" t="s">
        <v>3081</v>
      </c>
    </row>
    <row r="493" spans="91:100" ht="25.5" x14ac:dyDescent="0.25">
      <c r="CM493" s="582"/>
      <c r="CN493" s="584" t="s">
        <v>3196</v>
      </c>
      <c r="CO493" s="584" t="s">
        <v>1910</v>
      </c>
      <c r="CP493" s="584" t="s">
        <v>1888</v>
      </c>
      <c r="CQ493" s="584" t="s">
        <v>3197</v>
      </c>
      <c r="CR493" s="584" t="s">
        <v>3197</v>
      </c>
      <c r="CS493" s="584" t="s">
        <v>2583</v>
      </c>
      <c r="CT493" s="584" t="s">
        <v>2584</v>
      </c>
      <c r="CU493" s="584" t="s">
        <v>3080</v>
      </c>
      <c r="CV493" s="585" t="s">
        <v>3081</v>
      </c>
    </row>
    <row r="494" spans="91:100" ht="25.5" x14ac:dyDescent="0.25">
      <c r="CM494" s="582"/>
      <c r="CN494" s="584" t="s">
        <v>3198</v>
      </c>
      <c r="CO494" s="584" t="s">
        <v>1910</v>
      </c>
      <c r="CP494" s="584" t="s">
        <v>1888</v>
      </c>
      <c r="CQ494" s="584" t="s">
        <v>3199</v>
      </c>
      <c r="CR494" s="584" t="s">
        <v>3199</v>
      </c>
      <c r="CS494" s="584" t="s">
        <v>2583</v>
      </c>
      <c r="CT494" s="584" t="s">
        <v>2584</v>
      </c>
      <c r="CU494" s="584" t="s">
        <v>3080</v>
      </c>
      <c r="CV494" s="585" t="s">
        <v>3081</v>
      </c>
    </row>
    <row r="495" spans="91:100" ht="25.5" x14ac:dyDescent="0.25">
      <c r="CM495" s="582"/>
      <c r="CN495" s="584" t="s">
        <v>3200</v>
      </c>
      <c r="CO495" s="584" t="s">
        <v>1910</v>
      </c>
      <c r="CP495" s="584" t="s">
        <v>1888</v>
      </c>
      <c r="CQ495" s="584" t="s">
        <v>3201</v>
      </c>
      <c r="CR495" s="584" t="s">
        <v>3201</v>
      </c>
      <c r="CS495" s="584" t="s">
        <v>2583</v>
      </c>
      <c r="CT495" s="584" t="s">
        <v>2584</v>
      </c>
      <c r="CU495" s="584" t="s">
        <v>3080</v>
      </c>
      <c r="CV495" s="585" t="s">
        <v>3081</v>
      </c>
    </row>
    <row r="496" spans="91:100" ht="25.5" x14ac:dyDescent="0.25">
      <c r="CM496" s="582"/>
      <c r="CN496" s="584" t="s">
        <v>3202</v>
      </c>
      <c r="CO496" s="584" t="s">
        <v>1910</v>
      </c>
      <c r="CP496" s="584" t="s">
        <v>1888</v>
      </c>
      <c r="CQ496" s="584" t="s">
        <v>3203</v>
      </c>
      <c r="CR496" s="584" t="s">
        <v>3203</v>
      </c>
      <c r="CS496" s="584" t="s">
        <v>2583</v>
      </c>
      <c r="CT496" s="584" t="s">
        <v>2584</v>
      </c>
      <c r="CU496" s="584" t="s">
        <v>3080</v>
      </c>
      <c r="CV496" s="585" t="s">
        <v>3081</v>
      </c>
    </row>
    <row r="497" spans="91:100" ht="25.5" x14ac:dyDescent="0.25">
      <c r="CM497" s="582"/>
      <c r="CN497" s="584" t="s">
        <v>3204</v>
      </c>
      <c r="CO497" s="584" t="s">
        <v>1910</v>
      </c>
      <c r="CP497" s="584" t="s">
        <v>1888</v>
      </c>
      <c r="CQ497" s="584" t="s">
        <v>3205</v>
      </c>
      <c r="CR497" s="584" t="s">
        <v>3205</v>
      </c>
      <c r="CS497" s="584" t="s">
        <v>2583</v>
      </c>
      <c r="CT497" s="584" t="s">
        <v>2584</v>
      </c>
      <c r="CU497" s="584" t="s">
        <v>3080</v>
      </c>
      <c r="CV497" s="585" t="s">
        <v>3081</v>
      </c>
    </row>
    <row r="498" spans="91:100" ht="25.5" x14ac:dyDescent="0.25">
      <c r="CM498" s="582"/>
      <c r="CN498" s="584" t="s">
        <v>3206</v>
      </c>
      <c r="CO498" s="584" t="s">
        <v>1910</v>
      </c>
      <c r="CP498" s="584" t="s">
        <v>1888</v>
      </c>
      <c r="CQ498" s="584" t="s">
        <v>3207</v>
      </c>
      <c r="CR498" s="584" t="s">
        <v>3207</v>
      </c>
      <c r="CS498" s="584" t="s">
        <v>2583</v>
      </c>
      <c r="CT498" s="584" t="s">
        <v>2584</v>
      </c>
      <c r="CU498" s="584" t="s">
        <v>3080</v>
      </c>
      <c r="CV498" s="585" t="s">
        <v>3081</v>
      </c>
    </row>
    <row r="499" spans="91:100" ht="25.5" x14ac:dyDescent="0.25">
      <c r="CM499" s="582"/>
      <c r="CN499" s="584" t="s">
        <v>3208</v>
      </c>
      <c r="CO499" s="584" t="s">
        <v>1910</v>
      </c>
      <c r="CP499" s="584" t="s">
        <v>1888</v>
      </c>
      <c r="CQ499" s="584" t="s">
        <v>3209</v>
      </c>
      <c r="CR499" s="584" t="s">
        <v>3209</v>
      </c>
      <c r="CS499" s="584" t="s">
        <v>2583</v>
      </c>
      <c r="CT499" s="584" t="s">
        <v>2584</v>
      </c>
      <c r="CU499" s="584" t="s">
        <v>3080</v>
      </c>
      <c r="CV499" s="585" t="s">
        <v>3081</v>
      </c>
    </row>
    <row r="500" spans="91:100" ht="25.5" x14ac:dyDescent="0.25">
      <c r="CM500" s="582"/>
      <c r="CN500" s="584" t="s">
        <v>3210</v>
      </c>
      <c r="CO500" s="584" t="s">
        <v>1910</v>
      </c>
      <c r="CP500" s="584" t="s">
        <v>1888</v>
      </c>
      <c r="CQ500" s="584" t="s">
        <v>3211</v>
      </c>
      <c r="CR500" s="584" t="s">
        <v>3211</v>
      </c>
      <c r="CS500" s="584" t="s">
        <v>2583</v>
      </c>
      <c r="CT500" s="584" t="s">
        <v>2584</v>
      </c>
      <c r="CU500" s="584" t="s">
        <v>3080</v>
      </c>
      <c r="CV500" s="585" t="s">
        <v>3081</v>
      </c>
    </row>
    <row r="501" spans="91:100" ht="25.5" x14ac:dyDescent="0.25">
      <c r="CM501" s="582"/>
      <c r="CN501" s="584" t="s">
        <v>3212</v>
      </c>
      <c r="CO501" s="584" t="s">
        <v>1910</v>
      </c>
      <c r="CP501" s="584" t="s">
        <v>1888</v>
      </c>
      <c r="CQ501" s="584" t="s">
        <v>3213</v>
      </c>
      <c r="CR501" s="584" t="s">
        <v>3213</v>
      </c>
      <c r="CS501" s="584" t="s">
        <v>2583</v>
      </c>
      <c r="CT501" s="584" t="s">
        <v>2584</v>
      </c>
      <c r="CU501" s="584" t="s">
        <v>3080</v>
      </c>
      <c r="CV501" s="585" t="s">
        <v>3081</v>
      </c>
    </row>
    <row r="502" spans="91:100" ht="25.5" x14ac:dyDescent="0.25">
      <c r="CM502" s="582"/>
      <c r="CN502" s="584" t="s">
        <v>3214</v>
      </c>
      <c r="CO502" s="584" t="s">
        <v>1910</v>
      </c>
      <c r="CP502" s="584" t="s">
        <v>1888</v>
      </c>
      <c r="CQ502" s="584" t="s">
        <v>3215</v>
      </c>
      <c r="CR502" s="584" t="s">
        <v>3215</v>
      </c>
      <c r="CS502" s="584" t="s">
        <v>2583</v>
      </c>
      <c r="CT502" s="584" t="s">
        <v>2584</v>
      </c>
      <c r="CU502" s="584" t="s">
        <v>3080</v>
      </c>
      <c r="CV502" s="585" t="s">
        <v>3081</v>
      </c>
    </row>
    <row r="503" spans="91:100" ht="25.5" x14ac:dyDescent="0.25">
      <c r="CM503" s="582"/>
      <c r="CN503" s="584" t="s">
        <v>3216</v>
      </c>
      <c r="CO503" s="584" t="s">
        <v>1910</v>
      </c>
      <c r="CP503" s="584" t="s">
        <v>1888</v>
      </c>
      <c r="CQ503" s="584" t="s">
        <v>3217</v>
      </c>
      <c r="CR503" s="584" t="s">
        <v>3217</v>
      </c>
      <c r="CS503" s="584" t="s">
        <v>2583</v>
      </c>
      <c r="CT503" s="584" t="s">
        <v>2584</v>
      </c>
      <c r="CU503" s="584" t="s">
        <v>3080</v>
      </c>
      <c r="CV503" s="585" t="s">
        <v>3081</v>
      </c>
    </row>
    <row r="504" spans="91:100" ht="25.5" x14ac:dyDescent="0.25">
      <c r="CM504" s="582"/>
      <c r="CN504" s="584" t="s">
        <v>3218</v>
      </c>
      <c r="CO504" s="584" t="s">
        <v>1910</v>
      </c>
      <c r="CP504" s="584" t="s">
        <v>1888</v>
      </c>
      <c r="CQ504" s="584" t="s">
        <v>3219</v>
      </c>
      <c r="CR504" s="584" t="s">
        <v>3219</v>
      </c>
      <c r="CS504" s="584" t="s">
        <v>2583</v>
      </c>
      <c r="CT504" s="584" t="s">
        <v>2584</v>
      </c>
      <c r="CU504" s="584" t="s">
        <v>3080</v>
      </c>
      <c r="CV504" s="585" t="s">
        <v>3081</v>
      </c>
    </row>
    <row r="505" spans="91:100" ht="25.5" x14ac:dyDescent="0.25">
      <c r="CM505" s="582"/>
      <c r="CN505" s="584" t="s">
        <v>3220</v>
      </c>
      <c r="CO505" s="584" t="s">
        <v>1910</v>
      </c>
      <c r="CP505" s="584" t="s">
        <v>1888</v>
      </c>
      <c r="CQ505" s="584" t="s">
        <v>3221</v>
      </c>
      <c r="CR505" s="584" t="s">
        <v>3221</v>
      </c>
      <c r="CS505" s="584" t="s">
        <v>2583</v>
      </c>
      <c r="CT505" s="584" t="s">
        <v>2584</v>
      </c>
      <c r="CU505" s="584" t="s">
        <v>3080</v>
      </c>
      <c r="CV505" s="585" t="s">
        <v>3081</v>
      </c>
    </row>
    <row r="506" spans="91:100" ht="25.5" x14ac:dyDescent="0.25">
      <c r="CM506" s="582"/>
      <c r="CN506" s="584" t="s">
        <v>3222</v>
      </c>
      <c r="CO506" s="584" t="s">
        <v>1910</v>
      </c>
      <c r="CP506" s="584" t="s">
        <v>1888</v>
      </c>
      <c r="CQ506" s="584" t="s">
        <v>3223</v>
      </c>
      <c r="CR506" s="584" t="s">
        <v>3223</v>
      </c>
      <c r="CS506" s="584" t="s">
        <v>2583</v>
      </c>
      <c r="CT506" s="584" t="s">
        <v>2584</v>
      </c>
      <c r="CU506" s="584" t="s">
        <v>3080</v>
      </c>
      <c r="CV506" s="585" t="s">
        <v>3081</v>
      </c>
    </row>
    <row r="507" spans="91:100" ht="25.5" x14ac:dyDescent="0.25">
      <c r="CM507" s="582"/>
      <c r="CN507" s="584" t="s">
        <v>3224</v>
      </c>
      <c r="CO507" s="584" t="s">
        <v>1910</v>
      </c>
      <c r="CP507" s="584" t="s">
        <v>1888</v>
      </c>
      <c r="CQ507" s="584" t="s">
        <v>3225</v>
      </c>
      <c r="CR507" s="584" t="s">
        <v>3225</v>
      </c>
      <c r="CS507" s="584" t="s">
        <v>2583</v>
      </c>
      <c r="CT507" s="584" t="s">
        <v>2584</v>
      </c>
      <c r="CU507" s="584" t="s">
        <v>3080</v>
      </c>
      <c r="CV507" s="585" t="s">
        <v>3081</v>
      </c>
    </row>
    <row r="508" spans="91:100" ht="25.5" x14ac:dyDescent="0.25">
      <c r="CM508" s="582"/>
      <c r="CN508" s="584" t="s">
        <v>3226</v>
      </c>
      <c r="CO508" s="584" t="s">
        <v>1910</v>
      </c>
      <c r="CP508" s="584" t="s">
        <v>1888</v>
      </c>
      <c r="CQ508" s="584" t="s">
        <v>3227</v>
      </c>
      <c r="CR508" s="584" t="s">
        <v>3227</v>
      </c>
      <c r="CS508" s="584" t="s">
        <v>2583</v>
      </c>
      <c r="CT508" s="584" t="s">
        <v>2584</v>
      </c>
      <c r="CU508" s="584" t="s">
        <v>3080</v>
      </c>
      <c r="CV508" s="585" t="s">
        <v>3081</v>
      </c>
    </row>
    <row r="509" spans="91:100" ht="25.5" x14ac:dyDescent="0.25">
      <c r="CM509" s="582"/>
      <c r="CN509" s="584" t="s">
        <v>3228</v>
      </c>
      <c r="CO509" s="584" t="s">
        <v>1910</v>
      </c>
      <c r="CP509" s="584" t="s">
        <v>1888</v>
      </c>
      <c r="CQ509" s="584" t="s">
        <v>3229</v>
      </c>
      <c r="CR509" s="584" t="s">
        <v>3229</v>
      </c>
      <c r="CS509" s="584" t="s">
        <v>2583</v>
      </c>
      <c r="CT509" s="584" t="s">
        <v>2584</v>
      </c>
      <c r="CU509" s="584" t="s">
        <v>3080</v>
      </c>
      <c r="CV509" s="585" t="s">
        <v>3081</v>
      </c>
    </row>
    <row r="510" spans="91:100" ht="25.5" x14ac:dyDescent="0.25">
      <c r="CM510" s="582"/>
      <c r="CN510" s="584" t="s">
        <v>3230</v>
      </c>
      <c r="CO510" s="584" t="s">
        <v>1910</v>
      </c>
      <c r="CP510" s="584" t="s">
        <v>1888</v>
      </c>
      <c r="CQ510" s="584" t="s">
        <v>3231</v>
      </c>
      <c r="CR510" s="584" t="s">
        <v>3231</v>
      </c>
      <c r="CS510" s="584" t="s">
        <v>2583</v>
      </c>
      <c r="CT510" s="584" t="s">
        <v>2584</v>
      </c>
      <c r="CU510" s="584" t="s">
        <v>3080</v>
      </c>
      <c r="CV510" s="585" t="s">
        <v>3081</v>
      </c>
    </row>
    <row r="511" spans="91:100" ht="25.5" x14ac:dyDescent="0.25">
      <c r="CM511" s="582"/>
      <c r="CN511" s="584" t="s">
        <v>3232</v>
      </c>
      <c r="CO511" s="584" t="s">
        <v>1910</v>
      </c>
      <c r="CP511" s="584" t="s">
        <v>1888</v>
      </c>
      <c r="CQ511" s="584" t="s">
        <v>3233</v>
      </c>
      <c r="CR511" s="584" t="s">
        <v>3233</v>
      </c>
      <c r="CS511" s="584" t="s">
        <v>2583</v>
      </c>
      <c r="CT511" s="584" t="s">
        <v>2584</v>
      </c>
      <c r="CU511" s="584" t="s">
        <v>3080</v>
      </c>
      <c r="CV511" s="585" t="s">
        <v>3081</v>
      </c>
    </row>
    <row r="512" spans="91:100" ht="25.5" x14ac:dyDescent="0.25">
      <c r="CM512" s="582"/>
      <c r="CN512" s="584" t="s">
        <v>3234</v>
      </c>
      <c r="CO512" s="584" t="s">
        <v>1910</v>
      </c>
      <c r="CP512" s="584" t="s">
        <v>1888</v>
      </c>
      <c r="CQ512" s="584" t="s">
        <v>3235</v>
      </c>
      <c r="CR512" s="584" t="s">
        <v>3235</v>
      </c>
      <c r="CS512" s="584" t="s">
        <v>2583</v>
      </c>
      <c r="CT512" s="584" t="s">
        <v>2584</v>
      </c>
      <c r="CU512" s="584" t="s">
        <v>3080</v>
      </c>
      <c r="CV512" s="585" t="s">
        <v>3081</v>
      </c>
    </row>
    <row r="513" spans="91:100" ht="25.5" x14ac:dyDescent="0.25">
      <c r="CM513" s="582"/>
      <c r="CN513" s="584" t="s">
        <v>3236</v>
      </c>
      <c r="CO513" s="584" t="s">
        <v>1910</v>
      </c>
      <c r="CP513" s="584" t="s">
        <v>1888</v>
      </c>
      <c r="CQ513" s="584" t="s">
        <v>3237</v>
      </c>
      <c r="CR513" s="584" t="s">
        <v>3237</v>
      </c>
      <c r="CS513" s="584" t="s">
        <v>2583</v>
      </c>
      <c r="CT513" s="584" t="s">
        <v>2584</v>
      </c>
      <c r="CU513" s="584" t="s">
        <v>3080</v>
      </c>
      <c r="CV513" s="585" t="s">
        <v>3081</v>
      </c>
    </row>
    <row r="514" spans="91:100" ht="25.5" x14ac:dyDescent="0.25">
      <c r="CM514" s="582"/>
      <c r="CN514" s="584" t="s">
        <v>3238</v>
      </c>
      <c r="CO514" s="584" t="s">
        <v>1910</v>
      </c>
      <c r="CP514" s="584" t="s">
        <v>1888</v>
      </c>
      <c r="CQ514" s="584" t="s">
        <v>3239</v>
      </c>
      <c r="CR514" s="584" t="s">
        <v>3239</v>
      </c>
      <c r="CS514" s="584" t="s">
        <v>2583</v>
      </c>
      <c r="CT514" s="584" t="s">
        <v>2584</v>
      </c>
      <c r="CU514" s="584" t="s">
        <v>3080</v>
      </c>
      <c r="CV514" s="585" t="s">
        <v>3081</v>
      </c>
    </row>
    <row r="515" spans="91:100" ht="25.5" x14ac:dyDescent="0.25">
      <c r="CM515" s="582"/>
      <c r="CN515" s="584" t="s">
        <v>3240</v>
      </c>
      <c r="CO515" s="584" t="s">
        <v>1910</v>
      </c>
      <c r="CP515" s="584" t="s">
        <v>1888</v>
      </c>
      <c r="CQ515" s="584" t="s">
        <v>3241</v>
      </c>
      <c r="CR515" s="584" t="s">
        <v>3241</v>
      </c>
      <c r="CS515" s="584" t="s">
        <v>2583</v>
      </c>
      <c r="CT515" s="584" t="s">
        <v>2584</v>
      </c>
      <c r="CU515" s="584" t="s">
        <v>3080</v>
      </c>
      <c r="CV515" s="585" t="s">
        <v>3081</v>
      </c>
    </row>
    <row r="516" spans="91:100" ht="25.5" x14ac:dyDescent="0.25">
      <c r="CM516" s="582"/>
      <c r="CN516" s="584" t="s">
        <v>3242</v>
      </c>
      <c r="CO516" s="584" t="s">
        <v>1910</v>
      </c>
      <c r="CP516" s="584" t="s">
        <v>1888</v>
      </c>
      <c r="CQ516" s="584" t="s">
        <v>3243</v>
      </c>
      <c r="CR516" s="584" t="s">
        <v>3243</v>
      </c>
      <c r="CS516" s="584" t="s">
        <v>2583</v>
      </c>
      <c r="CT516" s="584" t="s">
        <v>2584</v>
      </c>
      <c r="CU516" s="584" t="s">
        <v>3080</v>
      </c>
      <c r="CV516" s="585" t="s">
        <v>3081</v>
      </c>
    </row>
    <row r="517" spans="91:100" ht="25.5" x14ac:dyDescent="0.25">
      <c r="CM517" s="582"/>
      <c r="CN517" s="584" t="s">
        <v>3244</v>
      </c>
      <c r="CO517" s="584" t="s">
        <v>1910</v>
      </c>
      <c r="CP517" s="584" t="s">
        <v>1888</v>
      </c>
      <c r="CQ517" s="584" t="s">
        <v>3245</v>
      </c>
      <c r="CR517" s="584" t="s">
        <v>3245</v>
      </c>
      <c r="CS517" s="584" t="s">
        <v>2583</v>
      </c>
      <c r="CT517" s="584" t="s">
        <v>2584</v>
      </c>
      <c r="CU517" s="584" t="s">
        <v>3080</v>
      </c>
      <c r="CV517" s="585" t="s">
        <v>3081</v>
      </c>
    </row>
    <row r="518" spans="91:100" ht="25.5" x14ac:dyDescent="0.25">
      <c r="CM518" s="582"/>
      <c r="CN518" s="584" t="s">
        <v>3246</v>
      </c>
      <c r="CO518" s="584" t="s">
        <v>1910</v>
      </c>
      <c r="CP518" s="584" t="s">
        <v>1888</v>
      </c>
      <c r="CQ518" s="584" t="s">
        <v>3247</v>
      </c>
      <c r="CR518" s="584" t="s">
        <v>3247</v>
      </c>
      <c r="CS518" s="584" t="s">
        <v>2583</v>
      </c>
      <c r="CT518" s="584" t="s">
        <v>2584</v>
      </c>
      <c r="CU518" s="584" t="s">
        <v>3080</v>
      </c>
      <c r="CV518" s="585" t="s">
        <v>3081</v>
      </c>
    </row>
    <row r="519" spans="91:100" ht="25.5" x14ac:dyDescent="0.25">
      <c r="CM519" s="582"/>
      <c r="CN519" s="584" t="s">
        <v>3248</v>
      </c>
      <c r="CO519" s="584" t="s">
        <v>1910</v>
      </c>
      <c r="CP519" s="584" t="s">
        <v>1888</v>
      </c>
      <c r="CQ519" s="584" t="s">
        <v>3249</v>
      </c>
      <c r="CR519" s="584" t="s">
        <v>3249</v>
      </c>
      <c r="CS519" s="584" t="s">
        <v>2583</v>
      </c>
      <c r="CT519" s="584" t="s">
        <v>2584</v>
      </c>
      <c r="CU519" s="584" t="s">
        <v>3080</v>
      </c>
      <c r="CV519" s="585" t="s">
        <v>3081</v>
      </c>
    </row>
    <row r="520" spans="91:100" ht="25.5" x14ac:dyDescent="0.25">
      <c r="CM520" s="582"/>
      <c r="CN520" s="584" t="s">
        <v>3250</v>
      </c>
      <c r="CO520" s="584" t="s">
        <v>1910</v>
      </c>
      <c r="CP520" s="584" t="s">
        <v>1888</v>
      </c>
      <c r="CQ520" s="584" t="s">
        <v>3251</v>
      </c>
      <c r="CR520" s="584" t="s">
        <v>3251</v>
      </c>
      <c r="CS520" s="584" t="s">
        <v>2583</v>
      </c>
      <c r="CT520" s="584" t="s">
        <v>2584</v>
      </c>
      <c r="CU520" s="584" t="s">
        <v>3080</v>
      </c>
      <c r="CV520" s="585" t="s">
        <v>3081</v>
      </c>
    </row>
    <row r="521" spans="91:100" ht="25.5" x14ac:dyDescent="0.25">
      <c r="CM521" s="582"/>
      <c r="CN521" s="584" t="s">
        <v>3252</v>
      </c>
      <c r="CO521" s="584" t="s">
        <v>1910</v>
      </c>
      <c r="CP521" s="584" t="s">
        <v>1888</v>
      </c>
      <c r="CQ521" s="584" t="s">
        <v>3253</v>
      </c>
      <c r="CR521" s="584" t="s">
        <v>3253</v>
      </c>
      <c r="CS521" s="584" t="s">
        <v>2583</v>
      </c>
      <c r="CT521" s="584" t="s">
        <v>2584</v>
      </c>
      <c r="CU521" s="584" t="s">
        <v>3080</v>
      </c>
      <c r="CV521" s="585" t="s">
        <v>3081</v>
      </c>
    </row>
    <row r="522" spans="91:100" ht="25.5" x14ac:dyDescent="0.25">
      <c r="CM522" s="582"/>
      <c r="CN522" s="584" t="s">
        <v>3254</v>
      </c>
      <c r="CO522" s="584" t="s">
        <v>1910</v>
      </c>
      <c r="CP522" s="584" t="s">
        <v>1888</v>
      </c>
      <c r="CQ522" s="584" t="s">
        <v>3255</v>
      </c>
      <c r="CR522" s="584" t="s">
        <v>3255</v>
      </c>
      <c r="CS522" s="584" t="s">
        <v>2583</v>
      </c>
      <c r="CT522" s="584" t="s">
        <v>2584</v>
      </c>
      <c r="CU522" s="584" t="s">
        <v>3080</v>
      </c>
      <c r="CV522" s="585" t="s">
        <v>3081</v>
      </c>
    </row>
    <row r="523" spans="91:100" ht="25.5" x14ac:dyDescent="0.25">
      <c r="CM523" s="582"/>
      <c r="CN523" s="584" t="s">
        <v>3256</v>
      </c>
      <c r="CO523" s="584" t="s">
        <v>1910</v>
      </c>
      <c r="CP523" s="584" t="s">
        <v>1888</v>
      </c>
      <c r="CQ523" s="584" t="s">
        <v>3257</v>
      </c>
      <c r="CR523" s="584" t="s">
        <v>3257</v>
      </c>
      <c r="CS523" s="584" t="s">
        <v>2583</v>
      </c>
      <c r="CT523" s="584" t="s">
        <v>2584</v>
      </c>
      <c r="CU523" s="584" t="s">
        <v>3080</v>
      </c>
      <c r="CV523" s="585" t="s">
        <v>3081</v>
      </c>
    </row>
    <row r="524" spans="91:100" ht="25.5" x14ac:dyDescent="0.25">
      <c r="CM524" s="582"/>
      <c r="CN524" s="584" t="s">
        <v>3258</v>
      </c>
      <c r="CO524" s="584" t="s">
        <v>1910</v>
      </c>
      <c r="CP524" s="584" t="s">
        <v>1888</v>
      </c>
      <c r="CQ524" s="584" t="s">
        <v>3259</v>
      </c>
      <c r="CR524" s="584" t="s">
        <v>3259</v>
      </c>
      <c r="CS524" s="584" t="s">
        <v>2583</v>
      </c>
      <c r="CT524" s="584" t="s">
        <v>2584</v>
      </c>
      <c r="CU524" s="584" t="s">
        <v>3080</v>
      </c>
      <c r="CV524" s="585" t="s">
        <v>3081</v>
      </c>
    </row>
    <row r="525" spans="91:100" ht="25.5" x14ac:dyDescent="0.25">
      <c r="CM525" s="582"/>
      <c r="CN525" s="584" t="s">
        <v>3260</v>
      </c>
      <c r="CO525" s="584" t="s">
        <v>1910</v>
      </c>
      <c r="CP525" s="584" t="s">
        <v>1888</v>
      </c>
      <c r="CQ525" s="584" t="s">
        <v>3261</v>
      </c>
      <c r="CR525" s="584" t="s">
        <v>3261</v>
      </c>
      <c r="CS525" s="584" t="s">
        <v>2583</v>
      </c>
      <c r="CT525" s="584" t="s">
        <v>2584</v>
      </c>
      <c r="CU525" s="584" t="s">
        <v>3080</v>
      </c>
      <c r="CV525" s="585" t="s">
        <v>3081</v>
      </c>
    </row>
    <row r="526" spans="91:100" ht="25.5" x14ac:dyDescent="0.25">
      <c r="CM526" s="582"/>
      <c r="CN526" s="584" t="s">
        <v>3262</v>
      </c>
      <c r="CO526" s="584" t="s">
        <v>1910</v>
      </c>
      <c r="CP526" s="584" t="s">
        <v>1888</v>
      </c>
      <c r="CQ526" s="584" t="s">
        <v>3263</v>
      </c>
      <c r="CR526" s="584" t="s">
        <v>3263</v>
      </c>
      <c r="CS526" s="584" t="s">
        <v>2583</v>
      </c>
      <c r="CT526" s="584" t="s">
        <v>2584</v>
      </c>
      <c r="CU526" s="584" t="s">
        <v>3080</v>
      </c>
      <c r="CV526" s="585" t="s">
        <v>3081</v>
      </c>
    </row>
    <row r="527" spans="91:100" ht="25.5" x14ac:dyDescent="0.25">
      <c r="CM527" s="582"/>
      <c r="CN527" s="584" t="s">
        <v>3264</v>
      </c>
      <c r="CO527" s="584" t="s">
        <v>1910</v>
      </c>
      <c r="CP527" s="584" t="s">
        <v>1888</v>
      </c>
      <c r="CQ527" s="584" t="s">
        <v>3265</v>
      </c>
      <c r="CR527" s="584" t="s">
        <v>3265</v>
      </c>
      <c r="CS527" s="584" t="s">
        <v>2583</v>
      </c>
      <c r="CT527" s="584" t="s">
        <v>2584</v>
      </c>
      <c r="CU527" s="584" t="s">
        <v>3080</v>
      </c>
      <c r="CV527" s="585" t="s">
        <v>3081</v>
      </c>
    </row>
    <row r="528" spans="91:100" ht="25.5" x14ac:dyDescent="0.25">
      <c r="CM528" s="582"/>
      <c r="CN528" s="584" t="s">
        <v>3266</v>
      </c>
      <c r="CO528" s="584" t="s">
        <v>1910</v>
      </c>
      <c r="CP528" s="584" t="s">
        <v>1888</v>
      </c>
      <c r="CQ528" s="584" t="s">
        <v>3267</v>
      </c>
      <c r="CR528" s="584" t="s">
        <v>3267</v>
      </c>
      <c r="CS528" s="584" t="s">
        <v>2583</v>
      </c>
      <c r="CT528" s="584" t="s">
        <v>2584</v>
      </c>
      <c r="CU528" s="584" t="s">
        <v>3080</v>
      </c>
      <c r="CV528" s="585" t="s">
        <v>3081</v>
      </c>
    </row>
    <row r="529" spans="91:100" ht="25.5" x14ac:dyDescent="0.25">
      <c r="CM529" s="582"/>
      <c r="CN529" s="584" t="s">
        <v>3268</v>
      </c>
      <c r="CO529" s="584" t="s">
        <v>1910</v>
      </c>
      <c r="CP529" s="584" t="s">
        <v>1888</v>
      </c>
      <c r="CQ529" s="584" t="s">
        <v>3269</v>
      </c>
      <c r="CR529" s="584" t="s">
        <v>3269</v>
      </c>
      <c r="CS529" s="584" t="s">
        <v>2583</v>
      </c>
      <c r="CT529" s="584" t="s">
        <v>2584</v>
      </c>
      <c r="CU529" s="584" t="s">
        <v>3080</v>
      </c>
      <c r="CV529" s="585" t="s">
        <v>3081</v>
      </c>
    </row>
    <row r="530" spans="91:100" ht="25.5" x14ac:dyDescent="0.25">
      <c r="CM530" s="582"/>
      <c r="CN530" s="584" t="s">
        <v>3270</v>
      </c>
      <c r="CO530" s="584" t="s">
        <v>1910</v>
      </c>
      <c r="CP530" s="584" t="s">
        <v>1888</v>
      </c>
      <c r="CQ530" s="584" t="s">
        <v>3271</v>
      </c>
      <c r="CR530" s="584" t="s">
        <v>3271</v>
      </c>
      <c r="CS530" s="584" t="s">
        <v>2583</v>
      </c>
      <c r="CT530" s="584" t="s">
        <v>2584</v>
      </c>
      <c r="CU530" s="584" t="s">
        <v>3080</v>
      </c>
      <c r="CV530" s="585" t="s">
        <v>3081</v>
      </c>
    </row>
    <row r="531" spans="91:100" ht="25.5" x14ac:dyDescent="0.25">
      <c r="CM531" s="582"/>
      <c r="CN531" s="584" t="s">
        <v>3272</v>
      </c>
      <c r="CO531" s="584" t="s">
        <v>1910</v>
      </c>
      <c r="CP531" s="584" t="s">
        <v>1888</v>
      </c>
      <c r="CQ531" s="584" t="s">
        <v>3273</v>
      </c>
      <c r="CR531" s="584" t="s">
        <v>3273</v>
      </c>
      <c r="CS531" s="584" t="s">
        <v>2583</v>
      </c>
      <c r="CT531" s="584" t="s">
        <v>2584</v>
      </c>
      <c r="CU531" s="584" t="s">
        <v>3080</v>
      </c>
      <c r="CV531" s="585" t="s">
        <v>3081</v>
      </c>
    </row>
    <row r="532" spans="91:100" ht="25.5" x14ac:dyDescent="0.25">
      <c r="CM532" s="582"/>
      <c r="CN532" s="584" t="s">
        <v>3274</v>
      </c>
      <c r="CO532" s="584" t="s">
        <v>1910</v>
      </c>
      <c r="CP532" s="584" t="s">
        <v>1888</v>
      </c>
      <c r="CQ532" s="584" t="s">
        <v>3275</v>
      </c>
      <c r="CR532" s="584" t="s">
        <v>3275</v>
      </c>
      <c r="CS532" s="584" t="s">
        <v>2583</v>
      </c>
      <c r="CT532" s="584" t="s">
        <v>2584</v>
      </c>
      <c r="CU532" s="584" t="s">
        <v>3080</v>
      </c>
      <c r="CV532" s="585" t="s">
        <v>3081</v>
      </c>
    </row>
    <row r="533" spans="91:100" ht="25.5" x14ac:dyDescent="0.25">
      <c r="CM533" s="582"/>
      <c r="CN533" s="584" t="s">
        <v>3276</v>
      </c>
      <c r="CO533" s="584" t="s">
        <v>1910</v>
      </c>
      <c r="CP533" s="584" t="s">
        <v>1888</v>
      </c>
      <c r="CQ533" s="584" t="s">
        <v>3277</v>
      </c>
      <c r="CR533" s="584" t="s">
        <v>3277</v>
      </c>
      <c r="CS533" s="584" t="s">
        <v>2583</v>
      </c>
      <c r="CT533" s="584" t="s">
        <v>2584</v>
      </c>
      <c r="CU533" s="584" t="s">
        <v>3080</v>
      </c>
      <c r="CV533" s="585" t="s">
        <v>3081</v>
      </c>
    </row>
    <row r="534" spans="91:100" ht="25.5" x14ac:dyDescent="0.25">
      <c r="CM534" s="582"/>
      <c r="CN534" s="584" t="s">
        <v>3278</v>
      </c>
      <c r="CO534" s="584" t="s">
        <v>1910</v>
      </c>
      <c r="CP534" s="584" t="s">
        <v>1888</v>
      </c>
      <c r="CQ534" s="584" t="s">
        <v>3279</v>
      </c>
      <c r="CR534" s="584" t="s">
        <v>3279</v>
      </c>
      <c r="CS534" s="584" t="s">
        <v>2583</v>
      </c>
      <c r="CT534" s="584" t="s">
        <v>2584</v>
      </c>
      <c r="CU534" s="584" t="s">
        <v>3080</v>
      </c>
      <c r="CV534" s="585" t="s">
        <v>3081</v>
      </c>
    </row>
    <row r="535" spans="91:100" ht="25.5" x14ac:dyDescent="0.25">
      <c r="CM535" s="582"/>
      <c r="CN535" s="584" t="s">
        <v>3280</v>
      </c>
      <c r="CO535" s="584" t="s">
        <v>1910</v>
      </c>
      <c r="CP535" s="584" t="s">
        <v>1888</v>
      </c>
      <c r="CQ535" s="584" t="s">
        <v>3281</v>
      </c>
      <c r="CR535" s="584" t="s">
        <v>3281</v>
      </c>
      <c r="CS535" s="584" t="s">
        <v>2583</v>
      </c>
      <c r="CT535" s="584" t="s">
        <v>2584</v>
      </c>
      <c r="CU535" s="584" t="s">
        <v>3080</v>
      </c>
      <c r="CV535" s="585" t="s">
        <v>3081</v>
      </c>
    </row>
    <row r="536" spans="91:100" ht="25.5" x14ac:dyDescent="0.25">
      <c r="CM536" s="582"/>
      <c r="CN536" s="584" t="s">
        <v>3282</v>
      </c>
      <c r="CO536" s="584" t="s">
        <v>1910</v>
      </c>
      <c r="CP536" s="584" t="s">
        <v>1888</v>
      </c>
      <c r="CQ536" s="584" t="s">
        <v>3283</v>
      </c>
      <c r="CR536" s="584" t="s">
        <v>3283</v>
      </c>
      <c r="CS536" s="584" t="s">
        <v>2583</v>
      </c>
      <c r="CT536" s="584" t="s">
        <v>2584</v>
      </c>
      <c r="CU536" s="584" t="s">
        <v>3080</v>
      </c>
      <c r="CV536" s="585" t="s">
        <v>3081</v>
      </c>
    </row>
    <row r="537" spans="91:100" ht="25.5" x14ac:dyDescent="0.25">
      <c r="CM537" s="582"/>
      <c r="CN537" s="584" t="s">
        <v>3284</v>
      </c>
      <c r="CO537" s="584" t="s">
        <v>1910</v>
      </c>
      <c r="CP537" s="584" t="s">
        <v>1888</v>
      </c>
      <c r="CQ537" s="584" t="s">
        <v>3285</v>
      </c>
      <c r="CR537" s="584" t="s">
        <v>3285</v>
      </c>
      <c r="CS537" s="584" t="s">
        <v>2583</v>
      </c>
      <c r="CT537" s="584" t="s">
        <v>2584</v>
      </c>
      <c r="CU537" s="584" t="s">
        <v>3080</v>
      </c>
      <c r="CV537" s="585" t="s">
        <v>3081</v>
      </c>
    </row>
    <row r="538" spans="91:100" ht="25.5" x14ac:dyDescent="0.25">
      <c r="CM538" s="582"/>
      <c r="CN538" s="584" t="s">
        <v>3286</v>
      </c>
      <c r="CO538" s="584" t="s">
        <v>1910</v>
      </c>
      <c r="CP538" s="584" t="s">
        <v>1888</v>
      </c>
      <c r="CQ538" s="584" t="s">
        <v>3287</v>
      </c>
      <c r="CR538" s="584" t="s">
        <v>3287</v>
      </c>
      <c r="CS538" s="584" t="s">
        <v>2583</v>
      </c>
      <c r="CT538" s="584" t="s">
        <v>2584</v>
      </c>
      <c r="CU538" s="584" t="s">
        <v>3080</v>
      </c>
      <c r="CV538" s="585" t="s">
        <v>3081</v>
      </c>
    </row>
    <row r="539" spans="91:100" ht="25.5" x14ac:dyDescent="0.25">
      <c r="CM539" s="582"/>
      <c r="CN539" s="584" t="s">
        <v>3288</v>
      </c>
      <c r="CO539" s="584" t="s">
        <v>1910</v>
      </c>
      <c r="CP539" s="584" t="s">
        <v>1888</v>
      </c>
      <c r="CQ539" s="584" t="s">
        <v>3289</v>
      </c>
      <c r="CR539" s="584" t="s">
        <v>3289</v>
      </c>
      <c r="CS539" s="584" t="s">
        <v>2583</v>
      </c>
      <c r="CT539" s="584" t="s">
        <v>2584</v>
      </c>
      <c r="CU539" s="584" t="s">
        <v>3080</v>
      </c>
      <c r="CV539" s="585" t="s">
        <v>3081</v>
      </c>
    </row>
    <row r="540" spans="91:100" ht="25.5" x14ac:dyDescent="0.25">
      <c r="CM540" s="582"/>
      <c r="CN540" s="584" t="s">
        <v>3290</v>
      </c>
      <c r="CO540" s="584" t="s">
        <v>1910</v>
      </c>
      <c r="CP540" s="584" t="s">
        <v>1888</v>
      </c>
      <c r="CQ540" s="584" t="s">
        <v>3291</v>
      </c>
      <c r="CR540" s="584" t="s">
        <v>3291</v>
      </c>
      <c r="CS540" s="584" t="s">
        <v>2583</v>
      </c>
      <c r="CT540" s="584" t="s">
        <v>2584</v>
      </c>
      <c r="CU540" s="584" t="s">
        <v>3080</v>
      </c>
      <c r="CV540" s="585" t="s">
        <v>3081</v>
      </c>
    </row>
    <row r="541" spans="91:100" ht="25.5" x14ac:dyDescent="0.25">
      <c r="CM541" s="582"/>
      <c r="CN541" s="584" t="s">
        <v>3292</v>
      </c>
      <c r="CO541" s="584" t="s">
        <v>1910</v>
      </c>
      <c r="CP541" s="584" t="s">
        <v>1888</v>
      </c>
      <c r="CQ541" s="584" t="s">
        <v>3293</v>
      </c>
      <c r="CR541" s="584" t="s">
        <v>3293</v>
      </c>
      <c r="CS541" s="584" t="s">
        <v>2583</v>
      </c>
      <c r="CT541" s="584" t="s">
        <v>2584</v>
      </c>
      <c r="CU541" s="584" t="s">
        <v>3080</v>
      </c>
      <c r="CV541" s="585" t="s">
        <v>3081</v>
      </c>
    </row>
    <row r="542" spans="91:100" ht="25.5" x14ac:dyDescent="0.25">
      <c r="CM542" s="582"/>
      <c r="CN542" s="584" t="s">
        <v>3294</v>
      </c>
      <c r="CO542" s="584" t="s">
        <v>1910</v>
      </c>
      <c r="CP542" s="584" t="s">
        <v>1888</v>
      </c>
      <c r="CQ542" s="584" t="s">
        <v>3295</v>
      </c>
      <c r="CR542" s="584" t="s">
        <v>3295</v>
      </c>
      <c r="CS542" s="584" t="s">
        <v>2583</v>
      </c>
      <c r="CT542" s="584" t="s">
        <v>2584</v>
      </c>
      <c r="CU542" s="584" t="s">
        <v>3080</v>
      </c>
      <c r="CV542" s="585" t="s">
        <v>3081</v>
      </c>
    </row>
    <row r="543" spans="91:100" x14ac:dyDescent="0.25">
      <c r="CM543" s="582"/>
      <c r="CN543" s="584" t="s">
        <v>3296</v>
      </c>
      <c r="CO543" s="584" t="s">
        <v>1910</v>
      </c>
      <c r="CP543" s="584" t="s">
        <v>1888</v>
      </c>
      <c r="CQ543" s="584" t="s">
        <v>3297</v>
      </c>
      <c r="CR543" s="584" t="s">
        <v>3297</v>
      </c>
      <c r="CS543" s="584" t="s">
        <v>1890</v>
      </c>
      <c r="CT543" s="584" t="s">
        <v>3163</v>
      </c>
      <c r="CU543" s="584" t="s">
        <v>1892</v>
      </c>
      <c r="CV543" s="585" t="s">
        <v>1893</v>
      </c>
    </row>
    <row r="544" spans="91:100" x14ac:dyDescent="0.25">
      <c r="CM544" s="582"/>
      <c r="CN544" s="584" t="s">
        <v>3298</v>
      </c>
      <c r="CO544" s="584" t="s">
        <v>1910</v>
      </c>
      <c r="CP544" s="584" t="s">
        <v>1888</v>
      </c>
      <c r="CQ544" s="584" t="s">
        <v>3299</v>
      </c>
      <c r="CR544" s="584" t="s">
        <v>3299</v>
      </c>
      <c r="CS544" s="584" t="s">
        <v>1890</v>
      </c>
      <c r="CT544" s="584" t="s">
        <v>3163</v>
      </c>
      <c r="CU544" s="584" t="s">
        <v>1892</v>
      </c>
      <c r="CV544" s="585" t="s">
        <v>1893</v>
      </c>
    </row>
    <row r="545" spans="91:100" x14ac:dyDescent="0.25">
      <c r="CM545" s="582"/>
      <c r="CN545" s="584" t="s">
        <v>3300</v>
      </c>
      <c r="CO545" s="584" t="s">
        <v>1910</v>
      </c>
      <c r="CP545" s="584" t="s">
        <v>1888</v>
      </c>
      <c r="CQ545" s="584" t="s">
        <v>3301</v>
      </c>
      <c r="CR545" s="584" t="s">
        <v>3301</v>
      </c>
      <c r="CS545" s="584" t="s">
        <v>1890</v>
      </c>
      <c r="CT545" s="584" t="s">
        <v>3163</v>
      </c>
      <c r="CU545" s="584" t="s">
        <v>1892</v>
      </c>
      <c r="CV545" s="585" t="s">
        <v>1893</v>
      </c>
    </row>
    <row r="546" spans="91:100" ht="25.5" x14ac:dyDescent="0.25">
      <c r="CM546" s="582"/>
      <c r="CN546" s="584" t="s">
        <v>3302</v>
      </c>
      <c r="CO546" s="584" t="s">
        <v>1910</v>
      </c>
      <c r="CP546" s="584" t="s">
        <v>1888</v>
      </c>
      <c r="CQ546" s="584" t="s">
        <v>3303</v>
      </c>
      <c r="CR546" s="584" t="s">
        <v>3303</v>
      </c>
      <c r="CS546" s="584" t="s">
        <v>2583</v>
      </c>
      <c r="CT546" s="584" t="s">
        <v>2584</v>
      </c>
      <c r="CU546" s="584" t="s">
        <v>3080</v>
      </c>
      <c r="CV546" s="585" t="s">
        <v>3081</v>
      </c>
    </row>
    <row r="547" spans="91:100" ht="25.5" x14ac:dyDescent="0.25">
      <c r="CM547" s="582"/>
      <c r="CN547" s="584" t="s">
        <v>3304</v>
      </c>
      <c r="CO547" s="584" t="s">
        <v>1910</v>
      </c>
      <c r="CP547" s="584" t="s">
        <v>1888</v>
      </c>
      <c r="CQ547" s="584" t="s">
        <v>3305</v>
      </c>
      <c r="CR547" s="584" t="s">
        <v>3305</v>
      </c>
      <c r="CS547" s="584" t="s">
        <v>2583</v>
      </c>
      <c r="CT547" s="584" t="s">
        <v>2584</v>
      </c>
      <c r="CU547" s="584" t="s">
        <v>3080</v>
      </c>
      <c r="CV547" s="585" t="s">
        <v>3081</v>
      </c>
    </row>
    <row r="548" spans="91:100" ht="25.5" x14ac:dyDescent="0.25">
      <c r="CM548" s="582"/>
      <c r="CN548" s="584" t="s">
        <v>3306</v>
      </c>
      <c r="CO548" s="584" t="s">
        <v>1910</v>
      </c>
      <c r="CP548" s="584" t="s">
        <v>1888</v>
      </c>
      <c r="CQ548" s="584" t="s">
        <v>3307</v>
      </c>
      <c r="CR548" s="584" t="s">
        <v>3307</v>
      </c>
      <c r="CS548" s="584" t="s">
        <v>2583</v>
      </c>
      <c r="CT548" s="584" t="s">
        <v>2584</v>
      </c>
      <c r="CU548" s="584" t="s">
        <v>3080</v>
      </c>
      <c r="CV548" s="585" t="s">
        <v>3081</v>
      </c>
    </row>
    <row r="549" spans="91:100" ht="25.5" x14ac:dyDescent="0.25">
      <c r="CM549" s="582"/>
      <c r="CN549" s="584" t="s">
        <v>3308</v>
      </c>
      <c r="CO549" s="584" t="s">
        <v>1910</v>
      </c>
      <c r="CP549" s="584" t="s">
        <v>1888</v>
      </c>
      <c r="CQ549" s="584" t="s">
        <v>3309</v>
      </c>
      <c r="CR549" s="584" t="s">
        <v>3309</v>
      </c>
      <c r="CS549" s="584" t="s">
        <v>2583</v>
      </c>
      <c r="CT549" s="584" t="s">
        <v>2584</v>
      </c>
      <c r="CU549" s="584" t="s">
        <v>3080</v>
      </c>
      <c r="CV549" s="585" t="s">
        <v>3081</v>
      </c>
    </row>
    <row r="550" spans="91:100" ht="25.5" x14ac:dyDescent="0.25">
      <c r="CM550" s="582"/>
      <c r="CN550" s="584" t="s">
        <v>3310</v>
      </c>
      <c r="CO550" s="584" t="s">
        <v>1910</v>
      </c>
      <c r="CP550" s="584" t="s">
        <v>1888</v>
      </c>
      <c r="CQ550" s="584" t="s">
        <v>3311</v>
      </c>
      <c r="CR550" s="584" t="s">
        <v>3311</v>
      </c>
      <c r="CS550" s="584" t="s">
        <v>2583</v>
      </c>
      <c r="CT550" s="584" t="s">
        <v>2584</v>
      </c>
      <c r="CU550" s="584" t="s">
        <v>3080</v>
      </c>
      <c r="CV550" s="585" t="s">
        <v>3081</v>
      </c>
    </row>
    <row r="551" spans="91:100" x14ac:dyDescent="0.25">
      <c r="CM551" s="582"/>
      <c r="CN551" s="584" t="s">
        <v>3312</v>
      </c>
      <c r="CO551" s="584" t="s">
        <v>1910</v>
      </c>
      <c r="CP551" s="584" t="s">
        <v>1888</v>
      </c>
      <c r="CQ551" s="584" t="s">
        <v>3313</v>
      </c>
      <c r="CR551" s="584" t="s">
        <v>3313</v>
      </c>
      <c r="CS551" s="584" t="s">
        <v>1890</v>
      </c>
      <c r="CT551" s="584" t="s">
        <v>3163</v>
      </c>
      <c r="CU551" s="584" t="s">
        <v>1892</v>
      </c>
      <c r="CV551" s="585" t="s">
        <v>1893</v>
      </c>
    </row>
    <row r="552" spans="91:100" x14ac:dyDescent="0.25">
      <c r="CM552" s="582"/>
      <c r="CN552" s="584" t="s">
        <v>3314</v>
      </c>
      <c r="CO552" s="584" t="s">
        <v>1910</v>
      </c>
      <c r="CP552" s="584" t="s">
        <v>1888</v>
      </c>
      <c r="CQ552" s="584" t="s">
        <v>3315</v>
      </c>
      <c r="CR552" s="584" t="s">
        <v>3315</v>
      </c>
      <c r="CS552" s="584" t="s">
        <v>1890</v>
      </c>
      <c r="CT552" s="584" t="s">
        <v>3163</v>
      </c>
      <c r="CU552" s="584" t="s">
        <v>1892</v>
      </c>
      <c r="CV552" s="585" t="s">
        <v>1893</v>
      </c>
    </row>
    <row r="553" spans="91:100" ht="25.5" x14ac:dyDescent="0.25">
      <c r="CM553" s="582"/>
      <c r="CN553" s="584" t="s">
        <v>3316</v>
      </c>
      <c r="CO553" s="584" t="s">
        <v>1910</v>
      </c>
      <c r="CP553" s="584" t="s">
        <v>1888</v>
      </c>
      <c r="CQ553" s="584" t="s">
        <v>3317</v>
      </c>
      <c r="CR553" s="584" t="s">
        <v>3317</v>
      </c>
      <c r="CS553" s="584" t="s">
        <v>2583</v>
      </c>
      <c r="CT553" s="584" t="s">
        <v>2584</v>
      </c>
      <c r="CU553" s="584" t="s">
        <v>3080</v>
      </c>
      <c r="CV553" s="585" t="s">
        <v>3081</v>
      </c>
    </row>
    <row r="554" spans="91:100" ht="25.5" x14ac:dyDescent="0.25">
      <c r="CM554" s="582"/>
      <c r="CN554" s="584" t="s">
        <v>3318</v>
      </c>
      <c r="CO554" s="584" t="s">
        <v>1910</v>
      </c>
      <c r="CP554" s="584" t="s">
        <v>1888</v>
      </c>
      <c r="CQ554" s="584" t="s">
        <v>3319</v>
      </c>
      <c r="CR554" s="584" t="s">
        <v>3319</v>
      </c>
      <c r="CS554" s="584" t="s">
        <v>2583</v>
      </c>
      <c r="CT554" s="584" t="s">
        <v>2584</v>
      </c>
      <c r="CU554" s="584" t="s">
        <v>3080</v>
      </c>
      <c r="CV554" s="585" t="s">
        <v>3081</v>
      </c>
    </row>
    <row r="555" spans="91:100" ht="25.5" x14ac:dyDescent="0.25">
      <c r="CM555" s="582"/>
      <c r="CN555" s="584" t="s">
        <v>3320</v>
      </c>
      <c r="CO555" s="584" t="s">
        <v>1910</v>
      </c>
      <c r="CP555" s="584" t="s">
        <v>1888</v>
      </c>
      <c r="CQ555" s="584" t="s">
        <v>3321</v>
      </c>
      <c r="CR555" s="584" t="s">
        <v>3321</v>
      </c>
      <c r="CS555" s="584" t="s">
        <v>2583</v>
      </c>
      <c r="CT555" s="584" t="s">
        <v>2584</v>
      </c>
      <c r="CU555" s="584" t="s">
        <v>3080</v>
      </c>
      <c r="CV555" s="585" t="s">
        <v>3081</v>
      </c>
    </row>
    <row r="556" spans="91:100" ht="25.5" x14ac:dyDescent="0.25">
      <c r="CM556" s="582"/>
      <c r="CN556" s="584" t="s">
        <v>3322</v>
      </c>
      <c r="CO556" s="584" t="s">
        <v>1910</v>
      </c>
      <c r="CP556" s="584" t="s">
        <v>1888</v>
      </c>
      <c r="CQ556" s="584" t="s">
        <v>3323</v>
      </c>
      <c r="CR556" s="584" t="s">
        <v>3323</v>
      </c>
      <c r="CS556" s="584" t="s">
        <v>2583</v>
      </c>
      <c r="CT556" s="584" t="s">
        <v>2584</v>
      </c>
      <c r="CU556" s="584" t="s">
        <v>3080</v>
      </c>
      <c r="CV556" s="585" t="s">
        <v>3081</v>
      </c>
    </row>
    <row r="557" spans="91:100" ht="25.5" x14ac:dyDescent="0.25">
      <c r="CM557" s="582"/>
      <c r="CN557" s="584" t="s">
        <v>3324</v>
      </c>
      <c r="CO557" s="584" t="s">
        <v>1910</v>
      </c>
      <c r="CP557" s="584" t="s">
        <v>1888</v>
      </c>
      <c r="CQ557" s="584" t="s">
        <v>3325</v>
      </c>
      <c r="CR557" s="584" t="s">
        <v>3325</v>
      </c>
      <c r="CS557" s="584" t="s">
        <v>2583</v>
      </c>
      <c r="CT557" s="584" t="s">
        <v>2584</v>
      </c>
      <c r="CU557" s="584" t="s">
        <v>3080</v>
      </c>
      <c r="CV557" s="585" t="s">
        <v>3081</v>
      </c>
    </row>
    <row r="558" spans="91:100" ht="25.5" x14ac:dyDescent="0.25">
      <c r="CM558" s="582"/>
      <c r="CN558" s="584" t="s">
        <v>3326</v>
      </c>
      <c r="CO558" s="584" t="s">
        <v>1910</v>
      </c>
      <c r="CP558" s="584" t="s">
        <v>1888</v>
      </c>
      <c r="CQ558" s="584" t="s">
        <v>3327</v>
      </c>
      <c r="CR558" s="584" t="s">
        <v>3327</v>
      </c>
      <c r="CS558" s="584" t="s">
        <v>2583</v>
      </c>
      <c r="CT558" s="584" t="s">
        <v>2584</v>
      </c>
      <c r="CU558" s="584" t="s">
        <v>3080</v>
      </c>
      <c r="CV558" s="585" t="s">
        <v>3081</v>
      </c>
    </row>
    <row r="559" spans="91:100" ht="25.5" x14ac:dyDescent="0.25">
      <c r="CM559" s="582"/>
      <c r="CN559" s="584" t="s">
        <v>3328</v>
      </c>
      <c r="CO559" s="584" t="s">
        <v>1910</v>
      </c>
      <c r="CP559" s="584" t="s">
        <v>1888</v>
      </c>
      <c r="CQ559" s="584" t="s">
        <v>3329</v>
      </c>
      <c r="CR559" s="584" t="s">
        <v>3329</v>
      </c>
      <c r="CS559" s="584" t="s">
        <v>2583</v>
      </c>
      <c r="CT559" s="584" t="s">
        <v>2584</v>
      </c>
      <c r="CU559" s="584" t="s">
        <v>3080</v>
      </c>
      <c r="CV559" s="585" t="s">
        <v>3081</v>
      </c>
    </row>
    <row r="560" spans="91:100" ht="25.5" x14ac:dyDescent="0.25">
      <c r="CM560" s="582"/>
      <c r="CN560" s="584" t="s">
        <v>3330</v>
      </c>
      <c r="CO560" s="584" t="s">
        <v>1910</v>
      </c>
      <c r="CP560" s="584" t="s">
        <v>1888</v>
      </c>
      <c r="CQ560" s="584" t="s">
        <v>3331</v>
      </c>
      <c r="CR560" s="584" t="s">
        <v>3331</v>
      </c>
      <c r="CS560" s="584" t="s">
        <v>2583</v>
      </c>
      <c r="CT560" s="584" t="s">
        <v>2584</v>
      </c>
      <c r="CU560" s="584" t="s">
        <v>3080</v>
      </c>
      <c r="CV560" s="585" t="s">
        <v>3081</v>
      </c>
    </row>
    <row r="561" spans="91:100" ht="25.5" x14ac:dyDescent="0.25">
      <c r="CM561" s="582"/>
      <c r="CN561" s="584" t="s">
        <v>3332</v>
      </c>
      <c r="CO561" s="584" t="s">
        <v>1910</v>
      </c>
      <c r="CP561" s="584" t="s">
        <v>1888</v>
      </c>
      <c r="CQ561" s="584" t="s">
        <v>3333</v>
      </c>
      <c r="CR561" s="584" t="s">
        <v>3333</v>
      </c>
      <c r="CS561" s="584" t="s">
        <v>2583</v>
      </c>
      <c r="CT561" s="584" t="s">
        <v>2584</v>
      </c>
      <c r="CU561" s="584" t="s">
        <v>3080</v>
      </c>
      <c r="CV561" s="585" t="s">
        <v>3081</v>
      </c>
    </row>
    <row r="562" spans="91:100" ht="25.5" x14ac:dyDescent="0.25">
      <c r="CM562" s="582"/>
      <c r="CN562" s="584" t="s">
        <v>3334</v>
      </c>
      <c r="CO562" s="584" t="s">
        <v>1910</v>
      </c>
      <c r="CP562" s="584" t="s">
        <v>1888</v>
      </c>
      <c r="CQ562" s="584" t="s">
        <v>3335</v>
      </c>
      <c r="CR562" s="584" t="s">
        <v>3335</v>
      </c>
      <c r="CS562" s="584" t="s">
        <v>2583</v>
      </c>
      <c r="CT562" s="584" t="s">
        <v>2584</v>
      </c>
      <c r="CU562" s="584" t="s">
        <v>3080</v>
      </c>
      <c r="CV562" s="585" t="s">
        <v>3081</v>
      </c>
    </row>
    <row r="563" spans="91:100" ht="25.5" x14ac:dyDescent="0.25">
      <c r="CM563" s="582"/>
      <c r="CN563" s="584" t="s">
        <v>3336</v>
      </c>
      <c r="CO563" s="584" t="s">
        <v>1910</v>
      </c>
      <c r="CP563" s="584" t="s">
        <v>1888</v>
      </c>
      <c r="CQ563" s="584" t="s">
        <v>3337</v>
      </c>
      <c r="CR563" s="584" t="s">
        <v>3337</v>
      </c>
      <c r="CS563" s="584" t="s">
        <v>2583</v>
      </c>
      <c r="CT563" s="584" t="s">
        <v>2584</v>
      </c>
      <c r="CU563" s="584" t="s">
        <v>3080</v>
      </c>
      <c r="CV563" s="585" t="s">
        <v>3081</v>
      </c>
    </row>
    <row r="564" spans="91:100" ht="25.5" x14ac:dyDescent="0.25">
      <c r="CM564" s="582"/>
      <c r="CN564" s="584" t="s">
        <v>3338</v>
      </c>
      <c r="CO564" s="584" t="s">
        <v>1910</v>
      </c>
      <c r="CP564" s="584" t="s">
        <v>1888</v>
      </c>
      <c r="CQ564" s="584" t="s">
        <v>3339</v>
      </c>
      <c r="CR564" s="584" t="s">
        <v>3339</v>
      </c>
      <c r="CS564" s="584" t="s">
        <v>2583</v>
      </c>
      <c r="CT564" s="584" t="s">
        <v>2584</v>
      </c>
      <c r="CU564" s="584" t="s">
        <v>3080</v>
      </c>
      <c r="CV564" s="585" t="s">
        <v>3081</v>
      </c>
    </row>
    <row r="565" spans="91:100" ht="25.5" x14ac:dyDescent="0.25">
      <c r="CM565" s="582"/>
      <c r="CN565" s="584" t="s">
        <v>3340</v>
      </c>
      <c r="CO565" s="584" t="s">
        <v>1910</v>
      </c>
      <c r="CP565" s="584" t="s">
        <v>1888</v>
      </c>
      <c r="CQ565" s="584" t="s">
        <v>3341</v>
      </c>
      <c r="CR565" s="584" t="s">
        <v>3341</v>
      </c>
      <c r="CS565" s="584" t="s">
        <v>2583</v>
      </c>
      <c r="CT565" s="584" t="s">
        <v>2584</v>
      </c>
      <c r="CU565" s="584" t="s">
        <v>3080</v>
      </c>
      <c r="CV565" s="585" t="s">
        <v>3081</v>
      </c>
    </row>
    <row r="566" spans="91:100" ht="25.5" x14ac:dyDescent="0.25">
      <c r="CM566" s="582"/>
      <c r="CN566" s="584" t="s">
        <v>3342</v>
      </c>
      <c r="CO566" s="584" t="s">
        <v>1910</v>
      </c>
      <c r="CP566" s="584" t="s">
        <v>1888</v>
      </c>
      <c r="CQ566" s="584" t="s">
        <v>3343</v>
      </c>
      <c r="CR566" s="584" t="s">
        <v>3343</v>
      </c>
      <c r="CS566" s="584" t="s">
        <v>2583</v>
      </c>
      <c r="CT566" s="584" t="s">
        <v>2584</v>
      </c>
      <c r="CU566" s="584" t="s">
        <v>3080</v>
      </c>
      <c r="CV566" s="585" t="s">
        <v>3081</v>
      </c>
    </row>
    <row r="567" spans="91:100" ht="25.5" x14ac:dyDescent="0.25">
      <c r="CM567" s="582"/>
      <c r="CN567" s="584" t="s">
        <v>3344</v>
      </c>
      <c r="CO567" s="584" t="s">
        <v>1910</v>
      </c>
      <c r="CP567" s="584" t="s">
        <v>1888</v>
      </c>
      <c r="CQ567" s="584" t="s">
        <v>3345</v>
      </c>
      <c r="CR567" s="584" t="s">
        <v>3345</v>
      </c>
      <c r="CS567" s="584" t="s">
        <v>2583</v>
      </c>
      <c r="CT567" s="584" t="s">
        <v>2584</v>
      </c>
      <c r="CU567" s="584" t="s">
        <v>3080</v>
      </c>
      <c r="CV567" s="585" t="s">
        <v>3081</v>
      </c>
    </row>
    <row r="568" spans="91:100" ht="25.5" x14ac:dyDescent="0.25">
      <c r="CM568" s="582"/>
      <c r="CN568" s="584" t="s">
        <v>3346</v>
      </c>
      <c r="CO568" s="584" t="s">
        <v>1910</v>
      </c>
      <c r="CP568" s="584" t="s">
        <v>1888</v>
      </c>
      <c r="CQ568" s="584" t="s">
        <v>3347</v>
      </c>
      <c r="CR568" s="584" t="s">
        <v>3347</v>
      </c>
      <c r="CS568" s="584" t="s">
        <v>2583</v>
      </c>
      <c r="CT568" s="584" t="s">
        <v>2584</v>
      </c>
      <c r="CU568" s="584" t="s">
        <v>3080</v>
      </c>
      <c r="CV568" s="585" t="s">
        <v>3081</v>
      </c>
    </row>
    <row r="569" spans="91:100" ht="25.5" x14ac:dyDescent="0.25">
      <c r="CM569" s="582"/>
      <c r="CN569" s="584" t="s">
        <v>3348</v>
      </c>
      <c r="CO569" s="584" t="s">
        <v>1910</v>
      </c>
      <c r="CP569" s="584" t="s">
        <v>1888</v>
      </c>
      <c r="CQ569" s="584" t="s">
        <v>3349</v>
      </c>
      <c r="CR569" s="584" t="s">
        <v>3349</v>
      </c>
      <c r="CS569" s="584" t="s">
        <v>2583</v>
      </c>
      <c r="CT569" s="584" t="s">
        <v>2584</v>
      </c>
      <c r="CU569" s="584" t="s">
        <v>3080</v>
      </c>
      <c r="CV569" s="585" t="s">
        <v>3081</v>
      </c>
    </row>
    <row r="570" spans="91:100" ht="25.5" x14ac:dyDescent="0.25">
      <c r="CM570" s="582"/>
      <c r="CN570" s="584" t="s">
        <v>3350</v>
      </c>
      <c r="CO570" s="584" t="s">
        <v>1910</v>
      </c>
      <c r="CP570" s="584" t="s">
        <v>1888</v>
      </c>
      <c r="CQ570" s="584" t="s">
        <v>3351</v>
      </c>
      <c r="CR570" s="584" t="s">
        <v>3351</v>
      </c>
      <c r="CS570" s="584" t="s">
        <v>2583</v>
      </c>
      <c r="CT570" s="584" t="s">
        <v>2584</v>
      </c>
      <c r="CU570" s="584" t="s">
        <v>3080</v>
      </c>
      <c r="CV570" s="585" t="s">
        <v>3081</v>
      </c>
    </row>
    <row r="571" spans="91:100" ht="25.5" x14ac:dyDescent="0.25">
      <c r="CM571" s="582"/>
      <c r="CN571" s="584" t="s">
        <v>3352</v>
      </c>
      <c r="CO571" s="584" t="s">
        <v>1910</v>
      </c>
      <c r="CP571" s="584" t="s">
        <v>1888</v>
      </c>
      <c r="CQ571" s="584" t="s">
        <v>3353</v>
      </c>
      <c r="CR571" s="584" t="s">
        <v>3353</v>
      </c>
      <c r="CS571" s="584" t="s">
        <v>2583</v>
      </c>
      <c r="CT571" s="584" t="s">
        <v>2584</v>
      </c>
      <c r="CU571" s="584" t="s">
        <v>3080</v>
      </c>
      <c r="CV571" s="585" t="s">
        <v>3081</v>
      </c>
    </row>
    <row r="572" spans="91:100" ht="25.5" x14ac:dyDescent="0.25">
      <c r="CM572" s="582"/>
      <c r="CN572" s="584" t="s">
        <v>3354</v>
      </c>
      <c r="CO572" s="584" t="s">
        <v>1910</v>
      </c>
      <c r="CP572" s="584" t="s">
        <v>1888</v>
      </c>
      <c r="CQ572" s="584" t="s">
        <v>3355</v>
      </c>
      <c r="CR572" s="584" t="s">
        <v>3355</v>
      </c>
      <c r="CS572" s="584" t="s">
        <v>2583</v>
      </c>
      <c r="CT572" s="584" t="s">
        <v>2584</v>
      </c>
      <c r="CU572" s="584" t="s">
        <v>3080</v>
      </c>
      <c r="CV572" s="585" t="s">
        <v>3081</v>
      </c>
    </row>
    <row r="573" spans="91:100" ht="25.5" x14ac:dyDescent="0.25">
      <c r="CM573" s="582"/>
      <c r="CN573" s="584" t="s">
        <v>3356</v>
      </c>
      <c r="CO573" s="584" t="s">
        <v>1910</v>
      </c>
      <c r="CP573" s="584" t="s">
        <v>1888</v>
      </c>
      <c r="CQ573" s="584" t="s">
        <v>3357</v>
      </c>
      <c r="CR573" s="584" t="s">
        <v>3357</v>
      </c>
      <c r="CS573" s="584" t="s">
        <v>2583</v>
      </c>
      <c r="CT573" s="584" t="s">
        <v>2584</v>
      </c>
      <c r="CU573" s="584" t="s">
        <v>3080</v>
      </c>
      <c r="CV573" s="585" t="s">
        <v>3081</v>
      </c>
    </row>
    <row r="574" spans="91:100" ht="25.5" x14ac:dyDescent="0.25">
      <c r="CM574" s="582"/>
      <c r="CN574" s="584" t="s">
        <v>3358</v>
      </c>
      <c r="CO574" s="584" t="s">
        <v>1910</v>
      </c>
      <c r="CP574" s="584" t="s">
        <v>1888</v>
      </c>
      <c r="CQ574" s="584" t="s">
        <v>3359</v>
      </c>
      <c r="CR574" s="584" t="s">
        <v>3359</v>
      </c>
      <c r="CS574" s="584" t="s">
        <v>2583</v>
      </c>
      <c r="CT574" s="584" t="s">
        <v>2584</v>
      </c>
      <c r="CU574" s="584" t="s">
        <v>3080</v>
      </c>
      <c r="CV574" s="585" t="s">
        <v>3081</v>
      </c>
    </row>
    <row r="575" spans="91:100" ht="25.5" x14ac:dyDescent="0.25">
      <c r="CM575" s="582"/>
      <c r="CN575" s="584" t="s">
        <v>3360</v>
      </c>
      <c r="CO575" s="584" t="s">
        <v>1910</v>
      </c>
      <c r="CP575" s="584" t="s">
        <v>1888</v>
      </c>
      <c r="CQ575" s="584" t="s">
        <v>3361</v>
      </c>
      <c r="CR575" s="584" t="s">
        <v>3361</v>
      </c>
      <c r="CS575" s="584" t="s">
        <v>2583</v>
      </c>
      <c r="CT575" s="584" t="s">
        <v>2584</v>
      </c>
      <c r="CU575" s="584" t="s">
        <v>3080</v>
      </c>
      <c r="CV575" s="585" t="s">
        <v>3081</v>
      </c>
    </row>
    <row r="576" spans="91:100" ht="25.5" x14ac:dyDescent="0.25">
      <c r="CM576" s="582"/>
      <c r="CN576" s="584" t="s">
        <v>3362</v>
      </c>
      <c r="CO576" s="584" t="s">
        <v>1910</v>
      </c>
      <c r="CP576" s="584" t="s">
        <v>1888</v>
      </c>
      <c r="CQ576" s="584" t="s">
        <v>3363</v>
      </c>
      <c r="CR576" s="584" t="s">
        <v>3363</v>
      </c>
      <c r="CS576" s="584" t="s">
        <v>2583</v>
      </c>
      <c r="CT576" s="584" t="s">
        <v>2584</v>
      </c>
      <c r="CU576" s="584" t="s">
        <v>3080</v>
      </c>
      <c r="CV576" s="585" t="s">
        <v>3081</v>
      </c>
    </row>
    <row r="577" spans="91:100" ht="25.5" x14ac:dyDescent="0.25">
      <c r="CM577" s="582"/>
      <c r="CN577" s="584" t="s">
        <v>3364</v>
      </c>
      <c r="CO577" s="584" t="s">
        <v>1910</v>
      </c>
      <c r="CP577" s="584" t="s">
        <v>1888</v>
      </c>
      <c r="CQ577" s="584" t="s">
        <v>3365</v>
      </c>
      <c r="CR577" s="584" t="s">
        <v>3365</v>
      </c>
      <c r="CS577" s="584" t="s">
        <v>2583</v>
      </c>
      <c r="CT577" s="584" t="s">
        <v>2584</v>
      </c>
      <c r="CU577" s="584" t="s">
        <v>3080</v>
      </c>
      <c r="CV577" s="585" t="s">
        <v>3081</v>
      </c>
    </row>
    <row r="578" spans="91:100" ht="25.5" x14ac:dyDescent="0.25">
      <c r="CM578" s="582"/>
      <c r="CN578" s="584" t="s">
        <v>3366</v>
      </c>
      <c r="CO578" s="584" t="s">
        <v>1910</v>
      </c>
      <c r="CP578" s="584" t="s">
        <v>1888</v>
      </c>
      <c r="CQ578" s="584" t="s">
        <v>3367</v>
      </c>
      <c r="CR578" s="584" t="s">
        <v>3367</v>
      </c>
      <c r="CS578" s="584" t="s">
        <v>2583</v>
      </c>
      <c r="CT578" s="584" t="s">
        <v>2584</v>
      </c>
      <c r="CU578" s="584" t="s">
        <v>3080</v>
      </c>
      <c r="CV578" s="585" t="s">
        <v>3081</v>
      </c>
    </row>
    <row r="579" spans="91:100" ht="25.5" x14ac:dyDescent="0.25">
      <c r="CM579" s="582"/>
      <c r="CN579" s="584" t="s">
        <v>3368</v>
      </c>
      <c r="CO579" s="584" t="s">
        <v>1910</v>
      </c>
      <c r="CP579" s="584" t="s">
        <v>1888</v>
      </c>
      <c r="CQ579" s="584" t="s">
        <v>3369</v>
      </c>
      <c r="CR579" s="584" t="s">
        <v>3369</v>
      </c>
      <c r="CS579" s="584" t="s">
        <v>2583</v>
      </c>
      <c r="CT579" s="584" t="s">
        <v>2584</v>
      </c>
      <c r="CU579" s="584" t="s">
        <v>3080</v>
      </c>
      <c r="CV579" s="585" t="s">
        <v>3081</v>
      </c>
    </row>
    <row r="580" spans="91:100" ht="25.5" x14ac:dyDescent="0.25">
      <c r="CM580" s="582"/>
      <c r="CN580" s="584" t="s">
        <v>3370</v>
      </c>
      <c r="CO580" s="584" t="s">
        <v>1910</v>
      </c>
      <c r="CP580" s="584" t="s">
        <v>1888</v>
      </c>
      <c r="CQ580" s="584" t="s">
        <v>3371</v>
      </c>
      <c r="CR580" s="584" t="s">
        <v>3371</v>
      </c>
      <c r="CS580" s="584" t="s">
        <v>2583</v>
      </c>
      <c r="CT580" s="584" t="s">
        <v>2584</v>
      </c>
      <c r="CU580" s="584" t="s">
        <v>3080</v>
      </c>
      <c r="CV580" s="585" t="s">
        <v>3081</v>
      </c>
    </row>
    <row r="581" spans="91:100" ht="25.5" x14ac:dyDescent="0.25">
      <c r="CM581" s="582"/>
      <c r="CN581" s="584" t="s">
        <v>3372</v>
      </c>
      <c r="CO581" s="584" t="s">
        <v>1910</v>
      </c>
      <c r="CP581" s="584" t="s">
        <v>1888</v>
      </c>
      <c r="CQ581" s="584" t="s">
        <v>3373</v>
      </c>
      <c r="CR581" s="584" t="s">
        <v>3373</v>
      </c>
      <c r="CS581" s="584" t="s">
        <v>2583</v>
      </c>
      <c r="CT581" s="584" t="s">
        <v>2584</v>
      </c>
      <c r="CU581" s="584" t="s">
        <v>3080</v>
      </c>
      <c r="CV581" s="585" t="s">
        <v>3081</v>
      </c>
    </row>
    <row r="582" spans="91:100" ht="25.5" x14ac:dyDescent="0.25">
      <c r="CM582" s="582"/>
      <c r="CN582" s="584" t="s">
        <v>3374</v>
      </c>
      <c r="CO582" s="584" t="s">
        <v>1910</v>
      </c>
      <c r="CP582" s="584" t="s">
        <v>1888</v>
      </c>
      <c r="CQ582" s="584" t="s">
        <v>3375</v>
      </c>
      <c r="CR582" s="584" t="s">
        <v>3375</v>
      </c>
      <c r="CS582" s="584" t="s">
        <v>2583</v>
      </c>
      <c r="CT582" s="584" t="s">
        <v>2584</v>
      </c>
      <c r="CU582" s="584" t="s">
        <v>3080</v>
      </c>
      <c r="CV582" s="585" t="s">
        <v>3081</v>
      </c>
    </row>
    <row r="583" spans="91:100" ht="25.5" x14ac:dyDescent="0.25">
      <c r="CM583" s="582"/>
      <c r="CN583" s="584" t="s">
        <v>3376</v>
      </c>
      <c r="CO583" s="584" t="s">
        <v>1910</v>
      </c>
      <c r="CP583" s="584" t="s">
        <v>1888</v>
      </c>
      <c r="CQ583" s="584" t="s">
        <v>3377</v>
      </c>
      <c r="CR583" s="584" t="s">
        <v>3377</v>
      </c>
      <c r="CS583" s="584" t="s">
        <v>2583</v>
      </c>
      <c r="CT583" s="584" t="s">
        <v>2584</v>
      </c>
      <c r="CU583" s="584" t="s">
        <v>3080</v>
      </c>
      <c r="CV583" s="585" t="s">
        <v>3081</v>
      </c>
    </row>
    <row r="584" spans="91:100" ht="25.5" x14ac:dyDescent="0.25">
      <c r="CM584" s="582"/>
      <c r="CN584" s="584" t="s">
        <v>3378</v>
      </c>
      <c r="CO584" s="584" t="s">
        <v>1910</v>
      </c>
      <c r="CP584" s="584" t="s">
        <v>1888</v>
      </c>
      <c r="CQ584" s="584" t="s">
        <v>3379</v>
      </c>
      <c r="CR584" s="584" t="s">
        <v>3379</v>
      </c>
      <c r="CS584" s="584" t="s">
        <v>2583</v>
      </c>
      <c r="CT584" s="584" t="s">
        <v>2584</v>
      </c>
      <c r="CU584" s="584" t="s">
        <v>3080</v>
      </c>
      <c r="CV584" s="585" t="s">
        <v>3081</v>
      </c>
    </row>
    <row r="585" spans="91:100" ht="25.5" x14ac:dyDescent="0.25">
      <c r="CM585" s="582"/>
      <c r="CN585" s="584" t="s">
        <v>3380</v>
      </c>
      <c r="CO585" s="584" t="s">
        <v>1910</v>
      </c>
      <c r="CP585" s="584" t="s">
        <v>1888</v>
      </c>
      <c r="CQ585" s="584" t="s">
        <v>3381</v>
      </c>
      <c r="CR585" s="584" t="s">
        <v>3381</v>
      </c>
      <c r="CS585" s="584" t="s">
        <v>2583</v>
      </c>
      <c r="CT585" s="584" t="s">
        <v>2584</v>
      </c>
      <c r="CU585" s="584" t="s">
        <v>3080</v>
      </c>
      <c r="CV585" s="585" t="s">
        <v>3081</v>
      </c>
    </row>
    <row r="586" spans="91:100" ht="25.5" x14ac:dyDescent="0.25">
      <c r="CM586" s="582"/>
      <c r="CN586" s="584" t="s">
        <v>3382</v>
      </c>
      <c r="CO586" s="584" t="s">
        <v>1910</v>
      </c>
      <c r="CP586" s="584" t="s">
        <v>1888</v>
      </c>
      <c r="CQ586" s="584" t="s">
        <v>3383</v>
      </c>
      <c r="CR586" s="584" t="s">
        <v>3383</v>
      </c>
      <c r="CS586" s="584" t="s">
        <v>2583</v>
      </c>
      <c r="CT586" s="584" t="s">
        <v>2584</v>
      </c>
      <c r="CU586" s="584" t="s">
        <v>3080</v>
      </c>
      <c r="CV586" s="585" t="s">
        <v>3081</v>
      </c>
    </row>
    <row r="587" spans="91:100" ht="25.5" x14ac:dyDescent="0.25">
      <c r="CM587" s="582"/>
      <c r="CN587" s="584" t="s">
        <v>3384</v>
      </c>
      <c r="CO587" s="584" t="s">
        <v>1910</v>
      </c>
      <c r="CP587" s="584" t="s">
        <v>1888</v>
      </c>
      <c r="CQ587" s="584" t="s">
        <v>3385</v>
      </c>
      <c r="CR587" s="584" t="s">
        <v>3385</v>
      </c>
      <c r="CS587" s="584" t="s">
        <v>2583</v>
      </c>
      <c r="CT587" s="584" t="s">
        <v>2584</v>
      </c>
      <c r="CU587" s="584" t="s">
        <v>3080</v>
      </c>
      <c r="CV587" s="585" t="s">
        <v>3081</v>
      </c>
    </row>
    <row r="588" spans="91:100" ht="25.5" x14ac:dyDescent="0.25">
      <c r="CM588" s="582"/>
      <c r="CN588" s="584" t="s">
        <v>3386</v>
      </c>
      <c r="CO588" s="584" t="s">
        <v>1910</v>
      </c>
      <c r="CP588" s="584" t="s">
        <v>1888</v>
      </c>
      <c r="CQ588" s="584" t="s">
        <v>3387</v>
      </c>
      <c r="CR588" s="584" t="s">
        <v>3387</v>
      </c>
      <c r="CS588" s="584" t="s">
        <v>2583</v>
      </c>
      <c r="CT588" s="584" t="s">
        <v>2584</v>
      </c>
      <c r="CU588" s="584" t="s">
        <v>3080</v>
      </c>
      <c r="CV588" s="585" t="s">
        <v>3081</v>
      </c>
    </row>
    <row r="589" spans="91:100" ht="25.5" x14ac:dyDescent="0.25">
      <c r="CM589" s="582"/>
      <c r="CN589" s="584" t="s">
        <v>3388</v>
      </c>
      <c r="CO589" s="584" t="s">
        <v>1910</v>
      </c>
      <c r="CP589" s="584" t="s">
        <v>1888</v>
      </c>
      <c r="CQ589" s="584" t="s">
        <v>3389</v>
      </c>
      <c r="CR589" s="584" t="s">
        <v>3389</v>
      </c>
      <c r="CS589" s="584" t="s">
        <v>2583</v>
      </c>
      <c r="CT589" s="584" t="s">
        <v>2584</v>
      </c>
      <c r="CU589" s="584" t="s">
        <v>3080</v>
      </c>
      <c r="CV589" s="585" t="s">
        <v>3081</v>
      </c>
    </row>
    <row r="590" spans="91:100" ht="25.5" x14ac:dyDescent="0.25">
      <c r="CM590" s="582"/>
      <c r="CN590" s="584" t="s">
        <v>3390</v>
      </c>
      <c r="CO590" s="584" t="s">
        <v>1910</v>
      </c>
      <c r="CP590" s="584" t="s">
        <v>1888</v>
      </c>
      <c r="CQ590" s="584" t="s">
        <v>3391</v>
      </c>
      <c r="CR590" s="584" t="s">
        <v>3391</v>
      </c>
      <c r="CS590" s="584" t="s">
        <v>2583</v>
      </c>
      <c r="CT590" s="584" t="s">
        <v>2584</v>
      </c>
      <c r="CU590" s="584" t="s">
        <v>3080</v>
      </c>
      <c r="CV590" s="585" t="s">
        <v>3081</v>
      </c>
    </row>
    <row r="591" spans="91:100" ht="25.5" x14ac:dyDescent="0.25">
      <c r="CM591" s="582"/>
      <c r="CN591" s="584" t="s">
        <v>3392</v>
      </c>
      <c r="CO591" s="584" t="s">
        <v>1910</v>
      </c>
      <c r="CP591" s="584" t="s">
        <v>1888</v>
      </c>
      <c r="CQ591" s="584" t="s">
        <v>3393</v>
      </c>
      <c r="CR591" s="584" t="s">
        <v>3393</v>
      </c>
      <c r="CS591" s="584" t="s">
        <v>2583</v>
      </c>
      <c r="CT591" s="584" t="s">
        <v>2584</v>
      </c>
      <c r="CU591" s="584" t="s">
        <v>3080</v>
      </c>
      <c r="CV591" s="585" t="s">
        <v>3081</v>
      </c>
    </row>
    <row r="592" spans="91:100" ht="25.5" x14ac:dyDescent="0.25">
      <c r="CM592" s="582"/>
      <c r="CN592" s="584" t="s">
        <v>3394</v>
      </c>
      <c r="CO592" s="584" t="s">
        <v>1910</v>
      </c>
      <c r="CP592" s="584" t="s">
        <v>1888</v>
      </c>
      <c r="CQ592" s="584" t="s">
        <v>3395</v>
      </c>
      <c r="CR592" s="584" t="s">
        <v>3395</v>
      </c>
      <c r="CS592" s="584" t="s">
        <v>2583</v>
      </c>
      <c r="CT592" s="584" t="s">
        <v>2584</v>
      </c>
      <c r="CU592" s="584" t="s">
        <v>3080</v>
      </c>
      <c r="CV592" s="585" t="s">
        <v>3081</v>
      </c>
    </row>
    <row r="593" spans="91:100" x14ac:dyDescent="0.25">
      <c r="CM593" s="582"/>
      <c r="CN593" s="584" t="s">
        <v>3396</v>
      </c>
      <c r="CO593" s="584" t="s">
        <v>1910</v>
      </c>
      <c r="CP593" s="584" t="s">
        <v>1888</v>
      </c>
      <c r="CQ593" s="584" t="s">
        <v>3397</v>
      </c>
      <c r="CR593" s="584" t="s">
        <v>3397</v>
      </c>
      <c r="CS593" s="584" t="s">
        <v>1890</v>
      </c>
      <c r="CT593" s="584" t="s">
        <v>3163</v>
      </c>
      <c r="CU593" s="584" t="s">
        <v>1892</v>
      </c>
      <c r="CV593" s="585" t="s">
        <v>1893</v>
      </c>
    </row>
    <row r="594" spans="91:100" ht="25.5" x14ac:dyDescent="0.25">
      <c r="CM594" s="582"/>
      <c r="CN594" s="584" t="s">
        <v>3398</v>
      </c>
      <c r="CO594" s="584" t="s">
        <v>1910</v>
      </c>
      <c r="CP594" s="584" t="s">
        <v>1888</v>
      </c>
      <c r="CQ594" s="584" t="s">
        <v>3399</v>
      </c>
      <c r="CR594" s="584" t="s">
        <v>3399</v>
      </c>
      <c r="CS594" s="584" t="s">
        <v>2583</v>
      </c>
      <c r="CT594" s="584" t="s">
        <v>2584</v>
      </c>
      <c r="CU594" s="584" t="s">
        <v>3080</v>
      </c>
      <c r="CV594" s="585" t="s">
        <v>3081</v>
      </c>
    </row>
    <row r="595" spans="91:100" ht="25.5" x14ac:dyDescent="0.25">
      <c r="CM595" s="582"/>
      <c r="CN595" s="584" t="s">
        <v>3400</v>
      </c>
      <c r="CO595" s="584" t="s">
        <v>1910</v>
      </c>
      <c r="CP595" s="584" t="s">
        <v>1888</v>
      </c>
      <c r="CQ595" s="584" t="s">
        <v>3401</v>
      </c>
      <c r="CR595" s="584" t="s">
        <v>3401</v>
      </c>
      <c r="CS595" s="584" t="s">
        <v>2583</v>
      </c>
      <c r="CT595" s="584" t="s">
        <v>2584</v>
      </c>
      <c r="CU595" s="584" t="s">
        <v>3080</v>
      </c>
      <c r="CV595" s="585" t="s">
        <v>3081</v>
      </c>
    </row>
    <row r="596" spans="91:100" ht="25.5" x14ac:dyDescent="0.25">
      <c r="CM596" s="582"/>
      <c r="CN596" s="584" t="s">
        <v>3402</v>
      </c>
      <c r="CO596" s="584" t="s">
        <v>1910</v>
      </c>
      <c r="CP596" s="584" t="s">
        <v>1888</v>
      </c>
      <c r="CQ596" s="584" t="s">
        <v>3403</v>
      </c>
      <c r="CR596" s="584" t="s">
        <v>3403</v>
      </c>
      <c r="CS596" s="584" t="s">
        <v>2583</v>
      </c>
      <c r="CT596" s="584" t="s">
        <v>2584</v>
      </c>
      <c r="CU596" s="584" t="s">
        <v>3080</v>
      </c>
      <c r="CV596" s="585" t="s">
        <v>3081</v>
      </c>
    </row>
    <row r="597" spans="91:100" ht="25.5" x14ac:dyDescent="0.25">
      <c r="CM597" s="582"/>
      <c r="CN597" s="584" t="s">
        <v>3404</v>
      </c>
      <c r="CO597" s="584" t="s">
        <v>1910</v>
      </c>
      <c r="CP597" s="584" t="s">
        <v>1888</v>
      </c>
      <c r="CQ597" s="584" t="s">
        <v>3405</v>
      </c>
      <c r="CR597" s="584" t="s">
        <v>3405</v>
      </c>
      <c r="CS597" s="584" t="s">
        <v>2583</v>
      </c>
      <c r="CT597" s="584" t="s">
        <v>2584</v>
      </c>
      <c r="CU597" s="584" t="s">
        <v>3080</v>
      </c>
      <c r="CV597" s="585" t="s">
        <v>3081</v>
      </c>
    </row>
    <row r="598" spans="91:100" ht="25.5" x14ac:dyDescent="0.25">
      <c r="CM598" s="582"/>
      <c r="CN598" s="584" t="s">
        <v>3406</v>
      </c>
      <c r="CO598" s="584" t="s">
        <v>1910</v>
      </c>
      <c r="CP598" s="584" t="s">
        <v>1888</v>
      </c>
      <c r="CQ598" s="584" t="s">
        <v>3407</v>
      </c>
      <c r="CR598" s="584" t="s">
        <v>3407</v>
      </c>
      <c r="CS598" s="584" t="s">
        <v>2583</v>
      </c>
      <c r="CT598" s="584" t="s">
        <v>2584</v>
      </c>
      <c r="CU598" s="584" t="s">
        <v>3080</v>
      </c>
      <c r="CV598" s="585" t="s">
        <v>3081</v>
      </c>
    </row>
    <row r="599" spans="91:100" ht="25.5" x14ac:dyDescent="0.25">
      <c r="CM599" s="582"/>
      <c r="CN599" s="584" t="s">
        <v>3408</v>
      </c>
      <c r="CO599" s="584" t="s">
        <v>1910</v>
      </c>
      <c r="CP599" s="584" t="s">
        <v>1888</v>
      </c>
      <c r="CQ599" s="584" t="s">
        <v>3409</v>
      </c>
      <c r="CR599" s="584" t="s">
        <v>3409</v>
      </c>
      <c r="CS599" s="584" t="s">
        <v>2583</v>
      </c>
      <c r="CT599" s="584" t="s">
        <v>2584</v>
      </c>
      <c r="CU599" s="584" t="s">
        <v>3080</v>
      </c>
      <c r="CV599" s="585" t="s">
        <v>3081</v>
      </c>
    </row>
    <row r="600" spans="91:100" ht="25.5" x14ac:dyDescent="0.25">
      <c r="CM600" s="582"/>
      <c r="CN600" s="584" t="s">
        <v>3410</v>
      </c>
      <c r="CO600" s="584" t="s">
        <v>1910</v>
      </c>
      <c r="CP600" s="584" t="s">
        <v>1888</v>
      </c>
      <c r="CQ600" s="584" t="s">
        <v>3411</v>
      </c>
      <c r="CR600" s="584" t="s">
        <v>3411</v>
      </c>
      <c r="CS600" s="584" t="s">
        <v>2583</v>
      </c>
      <c r="CT600" s="584" t="s">
        <v>2584</v>
      </c>
      <c r="CU600" s="584" t="s">
        <v>3080</v>
      </c>
      <c r="CV600" s="585" t="s">
        <v>3081</v>
      </c>
    </row>
    <row r="601" spans="91:100" ht="25.5" x14ac:dyDescent="0.25">
      <c r="CM601" s="582"/>
      <c r="CN601" s="584" t="s">
        <v>3412</v>
      </c>
      <c r="CO601" s="584" t="s">
        <v>1910</v>
      </c>
      <c r="CP601" s="584" t="s">
        <v>1888</v>
      </c>
      <c r="CQ601" s="584" t="s">
        <v>3413</v>
      </c>
      <c r="CR601" s="584" t="s">
        <v>3413</v>
      </c>
      <c r="CS601" s="584" t="s">
        <v>2583</v>
      </c>
      <c r="CT601" s="584" t="s">
        <v>2584</v>
      </c>
      <c r="CU601" s="584" t="s">
        <v>3080</v>
      </c>
      <c r="CV601" s="585" t="s">
        <v>3081</v>
      </c>
    </row>
    <row r="602" spans="91:100" ht="25.5" x14ac:dyDescent="0.25">
      <c r="CM602" s="582"/>
      <c r="CN602" s="584" t="s">
        <v>3414</v>
      </c>
      <c r="CO602" s="584" t="s">
        <v>1910</v>
      </c>
      <c r="CP602" s="584" t="s">
        <v>1888</v>
      </c>
      <c r="CQ602" s="584" t="s">
        <v>3415</v>
      </c>
      <c r="CR602" s="584" t="s">
        <v>3415</v>
      </c>
      <c r="CS602" s="584" t="s">
        <v>2583</v>
      </c>
      <c r="CT602" s="584" t="s">
        <v>2584</v>
      </c>
      <c r="CU602" s="584" t="s">
        <v>3080</v>
      </c>
      <c r="CV602" s="585" t="s">
        <v>3081</v>
      </c>
    </row>
    <row r="603" spans="91:100" ht="25.5" x14ac:dyDescent="0.25">
      <c r="CM603" s="582"/>
      <c r="CN603" s="584" t="s">
        <v>3416</v>
      </c>
      <c r="CO603" s="584" t="s">
        <v>1910</v>
      </c>
      <c r="CP603" s="584" t="s">
        <v>1888</v>
      </c>
      <c r="CQ603" s="584" t="s">
        <v>3417</v>
      </c>
      <c r="CR603" s="584" t="s">
        <v>3417</v>
      </c>
      <c r="CS603" s="584" t="s">
        <v>2583</v>
      </c>
      <c r="CT603" s="584" t="s">
        <v>2584</v>
      </c>
      <c r="CU603" s="584" t="s">
        <v>3080</v>
      </c>
      <c r="CV603" s="585" t="s">
        <v>3081</v>
      </c>
    </row>
    <row r="604" spans="91:100" ht="25.5" x14ac:dyDescent="0.25">
      <c r="CM604" s="582"/>
      <c r="CN604" s="584" t="s">
        <v>3418</v>
      </c>
      <c r="CO604" s="584" t="s">
        <v>1910</v>
      </c>
      <c r="CP604" s="584" t="s">
        <v>1888</v>
      </c>
      <c r="CQ604" s="584" t="s">
        <v>3419</v>
      </c>
      <c r="CR604" s="584" t="s">
        <v>3419</v>
      </c>
      <c r="CS604" s="584" t="s">
        <v>2583</v>
      </c>
      <c r="CT604" s="584" t="s">
        <v>2584</v>
      </c>
      <c r="CU604" s="584" t="s">
        <v>3080</v>
      </c>
      <c r="CV604" s="585" t="s">
        <v>3081</v>
      </c>
    </row>
    <row r="605" spans="91:100" ht="25.5" x14ac:dyDescent="0.25">
      <c r="CM605" s="582"/>
      <c r="CN605" s="584" t="s">
        <v>3420</v>
      </c>
      <c r="CO605" s="584" t="s">
        <v>1910</v>
      </c>
      <c r="CP605" s="584" t="s">
        <v>1888</v>
      </c>
      <c r="CQ605" s="584" t="s">
        <v>3421</v>
      </c>
      <c r="CR605" s="584" t="s">
        <v>3421</v>
      </c>
      <c r="CS605" s="584" t="s">
        <v>2583</v>
      </c>
      <c r="CT605" s="584" t="s">
        <v>2584</v>
      </c>
      <c r="CU605" s="584" t="s">
        <v>3080</v>
      </c>
      <c r="CV605" s="585" t="s">
        <v>3081</v>
      </c>
    </row>
    <row r="606" spans="91:100" ht="25.5" x14ac:dyDescent="0.25">
      <c r="CM606" s="582"/>
      <c r="CN606" s="584" t="s">
        <v>3422</v>
      </c>
      <c r="CO606" s="584" t="s">
        <v>1910</v>
      </c>
      <c r="CP606" s="584" t="s">
        <v>1888</v>
      </c>
      <c r="CQ606" s="584" t="s">
        <v>3423</v>
      </c>
      <c r="CR606" s="584" t="s">
        <v>3423</v>
      </c>
      <c r="CS606" s="584" t="s">
        <v>2583</v>
      </c>
      <c r="CT606" s="584" t="s">
        <v>2584</v>
      </c>
      <c r="CU606" s="584" t="s">
        <v>3080</v>
      </c>
      <c r="CV606" s="585" t="s">
        <v>3081</v>
      </c>
    </row>
    <row r="607" spans="91:100" ht="25.5" x14ac:dyDescent="0.25">
      <c r="CM607" s="582"/>
      <c r="CN607" s="584" t="s">
        <v>3424</v>
      </c>
      <c r="CO607" s="584" t="s">
        <v>1910</v>
      </c>
      <c r="CP607" s="584" t="s">
        <v>1888</v>
      </c>
      <c r="CQ607" s="584" t="s">
        <v>3425</v>
      </c>
      <c r="CR607" s="584" t="s">
        <v>3425</v>
      </c>
      <c r="CS607" s="584" t="s">
        <v>2583</v>
      </c>
      <c r="CT607" s="584" t="s">
        <v>2584</v>
      </c>
      <c r="CU607" s="584" t="s">
        <v>3080</v>
      </c>
      <c r="CV607" s="585" t="s">
        <v>3081</v>
      </c>
    </row>
    <row r="608" spans="91:100" ht="25.5" x14ac:dyDescent="0.25">
      <c r="CM608" s="582"/>
      <c r="CN608" s="584" t="s">
        <v>3426</v>
      </c>
      <c r="CO608" s="584" t="s">
        <v>1910</v>
      </c>
      <c r="CP608" s="584" t="s">
        <v>1888</v>
      </c>
      <c r="CQ608" s="584" t="s">
        <v>3427</v>
      </c>
      <c r="CR608" s="584" t="s">
        <v>3427</v>
      </c>
      <c r="CS608" s="584" t="s">
        <v>2583</v>
      </c>
      <c r="CT608" s="584" t="s">
        <v>2584</v>
      </c>
      <c r="CU608" s="584" t="s">
        <v>3080</v>
      </c>
      <c r="CV608" s="585" t="s">
        <v>3081</v>
      </c>
    </row>
    <row r="609" spans="91:100" ht="25.5" x14ac:dyDescent="0.25">
      <c r="CM609" s="582"/>
      <c r="CN609" s="584" t="s">
        <v>3428</v>
      </c>
      <c r="CO609" s="584" t="s">
        <v>1910</v>
      </c>
      <c r="CP609" s="584" t="s">
        <v>1888</v>
      </c>
      <c r="CQ609" s="584" t="s">
        <v>3429</v>
      </c>
      <c r="CR609" s="584" t="s">
        <v>3429</v>
      </c>
      <c r="CS609" s="584" t="s">
        <v>2583</v>
      </c>
      <c r="CT609" s="584" t="s">
        <v>2584</v>
      </c>
      <c r="CU609" s="584" t="s">
        <v>3080</v>
      </c>
      <c r="CV609" s="585" t="s">
        <v>3081</v>
      </c>
    </row>
    <row r="610" spans="91:100" x14ac:dyDescent="0.25">
      <c r="CM610" s="582"/>
      <c r="CN610" s="584" t="s">
        <v>3430</v>
      </c>
      <c r="CO610" s="584" t="s">
        <v>1910</v>
      </c>
      <c r="CP610" s="584" t="s">
        <v>1888</v>
      </c>
      <c r="CQ610" s="584" t="s">
        <v>3431</v>
      </c>
      <c r="CR610" s="584" t="s">
        <v>3431</v>
      </c>
      <c r="CS610" s="584" t="s">
        <v>1978</v>
      </c>
      <c r="CT610" s="584" t="s">
        <v>1979</v>
      </c>
      <c r="CU610" s="584" t="s">
        <v>1892</v>
      </c>
      <c r="CV610" s="585" t="s">
        <v>1980</v>
      </c>
    </row>
    <row r="611" spans="91:100" ht="25.5" x14ac:dyDescent="0.25">
      <c r="CM611" s="582"/>
      <c r="CN611" s="584" t="s">
        <v>3432</v>
      </c>
      <c r="CO611" s="584" t="s">
        <v>1910</v>
      </c>
      <c r="CP611" s="584" t="s">
        <v>1888</v>
      </c>
      <c r="CQ611" s="584" t="s">
        <v>3433</v>
      </c>
      <c r="CR611" s="584" t="s">
        <v>3433</v>
      </c>
      <c r="CS611" s="584" t="s">
        <v>2583</v>
      </c>
      <c r="CT611" s="584" t="s">
        <v>2584</v>
      </c>
      <c r="CU611" s="584" t="s">
        <v>3080</v>
      </c>
      <c r="CV611" s="585" t="s">
        <v>3081</v>
      </c>
    </row>
    <row r="612" spans="91:100" ht="25.5" x14ac:dyDescent="0.25">
      <c r="CM612" s="582"/>
      <c r="CN612" s="584" t="s">
        <v>3434</v>
      </c>
      <c r="CO612" s="584" t="s">
        <v>1910</v>
      </c>
      <c r="CP612" s="584" t="s">
        <v>1888</v>
      </c>
      <c r="CQ612" s="584" t="s">
        <v>3435</v>
      </c>
      <c r="CR612" s="584" t="s">
        <v>3435</v>
      </c>
      <c r="CS612" s="584" t="s">
        <v>2583</v>
      </c>
      <c r="CT612" s="584" t="s">
        <v>2584</v>
      </c>
      <c r="CU612" s="584" t="s">
        <v>3080</v>
      </c>
      <c r="CV612" s="585" t="s">
        <v>3081</v>
      </c>
    </row>
    <row r="613" spans="91:100" ht="25.5" x14ac:dyDescent="0.25">
      <c r="CM613" s="582"/>
      <c r="CN613" s="584" t="s">
        <v>3436</v>
      </c>
      <c r="CO613" s="584" t="s">
        <v>1910</v>
      </c>
      <c r="CP613" s="584" t="s">
        <v>1888</v>
      </c>
      <c r="CQ613" s="584" t="s">
        <v>3437</v>
      </c>
      <c r="CR613" s="584" t="s">
        <v>3437</v>
      </c>
      <c r="CS613" s="584" t="s">
        <v>2583</v>
      </c>
      <c r="CT613" s="584" t="s">
        <v>2584</v>
      </c>
      <c r="CU613" s="584" t="s">
        <v>3080</v>
      </c>
      <c r="CV613" s="585" t="s">
        <v>3081</v>
      </c>
    </row>
    <row r="614" spans="91:100" ht="25.5" x14ac:dyDescent="0.25">
      <c r="CM614" s="582"/>
      <c r="CN614" s="584" t="s">
        <v>3438</v>
      </c>
      <c r="CO614" s="584" t="s">
        <v>1910</v>
      </c>
      <c r="CP614" s="584" t="s">
        <v>1888</v>
      </c>
      <c r="CQ614" s="584" t="s">
        <v>3439</v>
      </c>
      <c r="CR614" s="584" t="s">
        <v>3439</v>
      </c>
      <c r="CS614" s="584" t="s">
        <v>2583</v>
      </c>
      <c r="CT614" s="584" t="s">
        <v>2584</v>
      </c>
      <c r="CU614" s="584" t="s">
        <v>3080</v>
      </c>
      <c r="CV614" s="585" t="s">
        <v>3081</v>
      </c>
    </row>
    <row r="615" spans="91:100" ht="25.5" x14ac:dyDescent="0.25">
      <c r="CM615" s="582"/>
      <c r="CN615" s="584" t="s">
        <v>3440</v>
      </c>
      <c r="CO615" s="584" t="s">
        <v>1910</v>
      </c>
      <c r="CP615" s="584" t="s">
        <v>1888</v>
      </c>
      <c r="CQ615" s="584" t="s">
        <v>3441</v>
      </c>
      <c r="CR615" s="584" t="s">
        <v>3441</v>
      </c>
      <c r="CS615" s="584" t="s">
        <v>2583</v>
      </c>
      <c r="CT615" s="584" t="s">
        <v>2584</v>
      </c>
      <c r="CU615" s="584" t="s">
        <v>3080</v>
      </c>
      <c r="CV615" s="585" t="s">
        <v>3081</v>
      </c>
    </row>
    <row r="616" spans="91:100" ht="25.5" x14ac:dyDescent="0.25">
      <c r="CM616" s="582"/>
      <c r="CN616" s="584" t="s">
        <v>3442</v>
      </c>
      <c r="CO616" s="584" t="s">
        <v>1910</v>
      </c>
      <c r="CP616" s="584" t="s">
        <v>1888</v>
      </c>
      <c r="CQ616" s="584" t="s">
        <v>3443</v>
      </c>
      <c r="CR616" s="584" t="s">
        <v>3443</v>
      </c>
      <c r="CS616" s="584" t="s">
        <v>2583</v>
      </c>
      <c r="CT616" s="584" t="s">
        <v>2584</v>
      </c>
      <c r="CU616" s="584" t="s">
        <v>3080</v>
      </c>
      <c r="CV616" s="585" t="s">
        <v>3081</v>
      </c>
    </row>
    <row r="617" spans="91:100" ht="25.5" x14ac:dyDescent="0.25">
      <c r="CM617" s="582"/>
      <c r="CN617" s="584" t="s">
        <v>3444</v>
      </c>
      <c r="CO617" s="584" t="s">
        <v>1910</v>
      </c>
      <c r="CP617" s="584" t="s">
        <v>1888</v>
      </c>
      <c r="CQ617" s="584" t="s">
        <v>3445</v>
      </c>
      <c r="CR617" s="584" t="s">
        <v>3445</v>
      </c>
      <c r="CS617" s="584" t="s">
        <v>2583</v>
      </c>
      <c r="CT617" s="584" t="s">
        <v>2584</v>
      </c>
      <c r="CU617" s="584" t="s">
        <v>3080</v>
      </c>
      <c r="CV617" s="585" t="s">
        <v>3081</v>
      </c>
    </row>
    <row r="618" spans="91:100" ht="25.5" x14ac:dyDescent="0.25">
      <c r="CM618" s="582"/>
      <c r="CN618" s="584" t="s">
        <v>3446</v>
      </c>
      <c r="CO618" s="584" t="s">
        <v>1910</v>
      </c>
      <c r="CP618" s="584" t="s">
        <v>1888</v>
      </c>
      <c r="CQ618" s="584" t="s">
        <v>3447</v>
      </c>
      <c r="CR618" s="584" t="s">
        <v>3447</v>
      </c>
      <c r="CS618" s="584" t="s">
        <v>2583</v>
      </c>
      <c r="CT618" s="584" t="s">
        <v>2584</v>
      </c>
      <c r="CU618" s="584" t="s">
        <v>3080</v>
      </c>
      <c r="CV618" s="585" t="s">
        <v>3081</v>
      </c>
    </row>
    <row r="619" spans="91:100" ht="25.5" x14ac:dyDescent="0.25">
      <c r="CM619" s="582"/>
      <c r="CN619" s="584" t="s">
        <v>3448</v>
      </c>
      <c r="CO619" s="584" t="s">
        <v>1910</v>
      </c>
      <c r="CP619" s="584" t="s">
        <v>1888</v>
      </c>
      <c r="CQ619" s="584" t="s">
        <v>3449</v>
      </c>
      <c r="CR619" s="584" t="s">
        <v>3449</v>
      </c>
      <c r="CS619" s="584" t="s">
        <v>2583</v>
      </c>
      <c r="CT619" s="584" t="s">
        <v>2584</v>
      </c>
      <c r="CU619" s="584" t="s">
        <v>3080</v>
      </c>
      <c r="CV619" s="585" t="s">
        <v>3081</v>
      </c>
    </row>
    <row r="620" spans="91:100" ht="25.5" x14ac:dyDescent="0.25">
      <c r="CM620" s="582"/>
      <c r="CN620" s="584" t="s">
        <v>3450</v>
      </c>
      <c r="CO620" s="584" t="s">
        <v>1910</v>
      </c>
      <c r="CP620" s="584" t="s">
        <v>1888</v>
      </c>
      <c r="CQ620" s="584" t="s">
        <v>3451</v>
      </c>
      <c r="CR620" s="584" t="s">
        <v>3451</v>
      </c>
      <c r="CS620" s="584" t="s">
        <v>2583</v>
      </c>
      <c r="CT620" s="584" t="s">
        <v>2584</v>
      </c>
      <c r="CU620" s="584" t="s">
        <v>3080</v>
      </c>
      <c r="CV620" s="585" t="s">
        <v>3081</v>
      </c>
    </row>
    <row r="621" spans="91:100" ht="25.5" x14ac:dyDescent="0.25">
      <c r="CM621" s="582"/>
      <c r="CN621" s="584" t="s">
        <v>3452</v>
      </c>
      <c r="CO621" s="584" t="s">
        <v>1910</v>
      </c>
      <c r="CP621" s="584" t="s">
        <v>1888</v>
      </c>
      <c r="CQ621" s="584" t="s">
        <v>3453</v>
      </c>
      <c r="CR621" s="584" t="s">
        <v>3453</v>
      </c>
      <c r="CS621" s="584" t="s">
        <v>2583</v>
      </c>
      <c r="CT621" s="584" t="s">
        <v>2584</v>
      </c>
      <c r="CU621" s="584" t="s">
        <v>3080</v>
      </c>
      <c r="CV621" s="585" t="s">
        <v>3081</v>
      </c>
    </row>
    <row r="622" spans="91:100" ht="25.5" x14ac:dyDescent="0.25">
      <c r="CM622" s="582"/>
      <c r="CN622" s="584" t="s">
        <v>3454</v>
      </c>
      <c r="CO622" s="584" t="s">
        <v>1910</v>
      </c>
      <c r="CP622" s="584" t="s">
        <v>1888</v>
      </c>
      <c r="CQ622" s="584" t="s">
        <v>3455</v>
      </c>
      <c r="CR622" s="584" t="s">
        <v>3455</v>
      </c>
      <c r="CS622" s="584" t="s">
        <v>2583</v>
      </c>
      <c r="CT622" s="584" t="s">
        <v>2584</v>
      </c>
      <c r="CU622" s="584" t="s">
        <v>3080</v>
      </c>
      <c r="CV622" s="585" t="s">
        <v>3081</v>
      </c>
    </row>
    <row r="623" spans="91:100" ht="25.5" x14ac:dyDescent="0.25">
      <c r="CM623" s="582"/>
      <c r="CN623" s="584" t="s">
        <v>3456</v>
      </c>
      <c r="CO623" s="584" t="s">
        <v>1910</v>
      </c>
      <c r="CP623" s="584" t="s">
        <v>1888</v>
      </c>
      <c r="CQ623" s="584" t="s">
        <v>3457</v>
      </c>
      <c r="CR623" s="584" t="s">
        <v>3457</v>
      </c>
      <c r="CS623" s="584" t="s">
        <v>2583</v>
      </c>
      <c r="CT623" s="584" t="s">
        <v>2584</v>
      </c>
      <c r="CU623" s="584" t="s">
        <v>3080</v>
      </c>
      <c r="CV623" s="585" t="s">
        <v>3081</v>
      </c>
    </row>
    <row r="624" spans="91:100" ht="25.5" x14ac:dyDescent="0.25">
      <c r="CM624" s="582"/>
      <c r="CN624" s="584" t="s">
        <v>3458</v>
      </c>
      <c r="CO624" s="584" t="s">
        <v>1910</v>
      </c>
      <c r="CP624" s="584" t="s">
        <v>1888</v>
      </c>
      <c r="CQ624" s="584" t="s">
        <v>3459</v>
      </c>
      <c r="CR624" s="584" t="s">
        <v>3459</v>
      </c>
      <c r="CS624" s="584" t="s">
        <v>2583</v>
      </c>
      <c r="CT624" s="584" t="s">
        <v>2584</v>
      </c>
      <c r="CU624" s="584" t="s">
        <v>3080</v>
      </c>
      <c r="CV624" s="585" t="s">
        <v>3081</v>
      </c>
    </row>
    <row r="625" spans="91:100" ht="25.5" x14ac:dyDescent="0.25">
      <c r="CM625" s="582"/>
      <c r="CN625" s="584" t="s">
        <v>3460</v>
      </c>
      <c r="CO625" s="584" t="s">
        <v>1910</v>
      </c>
      <c r="CP625" s="584" t="s">
        <v>1888</v>
      </c>
      <c r="CQ625" s="584" t="s">
        <v>3461</v>
      </c>
      <c r="CR625" s="584" t="s">
        <v>3461</v>
      </c>
      <c r="CS625" s="584" t="s">
        <v>2583</v>
      </c>
      <c r="CT625" s="584" t="s">
        <v>2584</v>
      </c>
      <c r="CU625" s="584" t="s">
        <v>3080</v>
      </c>
      <c r="CV625" s="585" t="s">
        <v>3081</v>
      </c>
    </row>
    <row r="626" spans="91:100" ht="25.5" x14ac:dyDescent="0.25">
      <c r="CM626" s="582"/>
      <c r="CN626" s="584" t="s">
        <v>3462</v>
      </c>
      <c r="CO626" s="584" t="s">
        <v>1910</v>
      </c>
      <c r="CP626" s="584" t="s">
        <v>1888</v>
      </c>
      <c r="CQ626" s="584" t="s">
        <v>3463</v>
      </c>
      <c r="CR626" s="584" t="s">
        <v>3463</v>
      </c>
      <c r="CS626" s="584" t="s">
        <v>2583</v>
      </c>
      <c r="CT626" s="584" t="s">
        <v>2584</v>
      </c>
      <c r="CU626" s="584" t="s">
        <v>3080</v>
      </c>
      <c r="CV626" s="585" t="s">
        <v>3081</v>
      </c>
    </row>
    <row r="627" spans="91:100" ht="25.5" x14ac:dyDescent="0.25">
      <c r="CM627" s="582"/>
      <c r="CN627" s="584" t="s">
        <v>3464</v>
      </c>
      <c r="CO627" s="584" t="s">
        <v>1910</v>
      </c>
      <c r="CP627" s="584" t="s">
        <v>1888</v>
      </c>
      <c r="CQ627" s="584" t="s">
        <v>3465</v>
      </c>
      <c r="CR627" s="584" t="s">
        <v>3465</v>
      </c>
      <c r="CS627" s="584" t="s">
        <v>2583</v>
      </c>
      <c r="CT627" s="584" t="s">
        <v>2584</v>
      </c>
      <c r="CU627" s="584" t="s">
        <v>3080</v>
      </c>
      <c r="CV627" s="585" t="s">
        <v>3081</v>
      </c>
    </row>
    <row r="628" spans="91:100" ht="25.5" x14ac:dyDescent="0.25">
      <c r="CM628" s="582"/>
      <c r="CN628" s="584" t="s">
        <v>3466</v>
      </c>
      <c r="CO628" s="584" t="s">
        <v>1910</v>
      </c>
      <c r="CP628" s="584" t="s">
        <v>1888</v>
      </c>
      <c r="CQ628" s="584" t="s">
        <v>3467</v>
      </c>
      <c r="CR628" s="584" t="s">
        <v>3467</v>
      </c>
      <c r="CS628" s="584" t="s">
        <v>2583</v>
      </c>
      <c r="CT628" s="584" t="s">
        <v>2584</v>
      </c>
      <c r="CU628" s="584" t="s">
        <v>3080</v>
      </c>
      <c r="CV628" s="585" t="s">
        <v>3081</v>
      </c>
    </row>
    <row r="629" spans="91:100" ht="25.5" x14ac:dyDescent="0.25">
      <c r="CM629" s="582"/>
      <c r="CN629" s="584" t="s">
        <v>3468</v>
      </c>
      <c r="CO629" s="584" t="s">
        <v>1910</v>
      </c>
      <c r="CP629" s="584" t="s">
        <v>1888</v>
      </c>
      <c r="CQ629" s="584" t="s">
        <v>3469</v>
      </c>
      <c r="CR629" s="584" t="s">
        <v>3469</v>
      </c>
      <c r="CS629" s="584" t="s">
        <v>2583</v>
      </c>
      <c r="CT629" s="584" t="s">
        <v>2584</v>
      </c>
      <c r="CU629" s="584" t="s">
        <v>3080</v>
      </c>
      <c r="CV629" s="585" t="s">
        <v>3081</v>
      </c>
    </row>
    <row r="630" spans="91:100" ht="25.5" x14ac:dyDescent="0.25">
      <c r="CM630" s="582"/>
      <c r="CN630" s="584" t="s">
        <v>3470</v>
      </c>
      <c r="CO630" s="584" t="s">
        <v>1910</v>
      </c>
      <c r="CP630" s="584" t="s">
        <v>1888</v>
      </c>
      <c r="CQ630" s="584" t="s">
        <v>3471</v>
      </c>
      <c r="CR630" s="584" t="s">
        <v>3471</v>
      </c>
      <c r="CS630" s="584" t="s">
        <v>2583</v>
      </c>
      <c r="CT630" s="584" t="s">
        <v>2584</v>
      </c>
      <c r="CU630" s="584" t="s">
        <v>3080</v>
      </c>
      <c r="CV630" s="585" t="s">
        <v>3081</v>
      </c>
    </row>
    <row r="631" spans="91:100" ht="25.5" x14ac:dyDescent="0.25">
      <c r="CM631" s="582"/>
      <c r="CN631" s="584" t="s">
        <v>3472</v>
      </c>
      <c r="CO631" s="584" t="s">
        <v>1910</v>
      </c>
      <c r="CP631" s="584" t="s">
        <v>1888</v>
      </c>
      <c r="CQ631" s="584" t="s">
        <v>3473</v>
      </c>
      <c r="CR631" s="584" t="s">
        <v>3473</v>
      </c>
      <c r="CS631" s="584" t="s">
        <v>2583</v>
      </c>
      <c r="CT631" s="584" t="s">
        <v>2584</v>
      </c>
      <c r="CU631" s="584" t="s">
        <v>3080</v>
      </c>
      <c r="CV631" s="585" t="s">
        <v>3081</v>
      </c>
    </row>
    <row r="632" spans="91:100" ht="25.5" x14ac:dyDescent="0.25">
      <c r="CM632" s="582"/>
      <c r="CN632" s="584" t="s">
        <v>3474</v>
      </c>
      <c r="CO632" s="584" t="s">
        <v>1910</v>
      </c>
      <c r="CP632" s="584" t="s">
        <v>1888</v>
      </c>
      <c r="CQ632" s="584" t="s">
        <v>3475</v>
      </c>
      <c r="CR632" s="584" t="s">
        <v>3475</v>
      </c>
      <c r="CS632" s="584" t="s">
        <v>2583</v>
      </c>
      <c r="CT632" s="584" t="s">
        <v>2584</v>
      </c>
      <c r="CU632" s="584" t="s">
        <v>3080</v>
      </c>
      <c r="CV632" s="585" t="s">
        <v>3081</v>
      </c>
    </row>
    <row r="633" spans="91:100" ht="25.5" x14ac:dyDescent="0.25">
      <c r="CM633" s="582"/>
      <c r="CN633" s="584" t="s">
        <v>3476</v>
      </c>
      <c r="CO633" s="584" t="s">
        <v>1910</v>
      </c>
      <c r="CP633" s="584" t="s">
        <v>1888</v>
      </c>
      <c r="CQ633" s="584" t="s">
        <v>3477</v>
      </c>
      <c r="CR633" s="584" t="s">
        <v>3477</v>
      </c>
      <c r="CS633" s="584" t="s">
        <v>2583</v>
      </c>
      <c r="CT633" s="584" t="s">
        <v>2584</v>
      </c>
      <c r="CU633" s="584" t="s">
        <v>3080</v>
      </c>
      <c r="CV633" s="585" t="s">
        <v>3081</v>
      </c>
    </row>
    <row r="634" spans="91:100" ht="25.5" x14ac:dyDescent="0.25">
      <c r="CM634" s="582"/>
      <c r="CN634" s="584" t="s">
        <v>3478</v>
      </c>
      <c r="CO634" s="584" t="s">
        <v>1910</v>
      </c>
      <c r="CP634" s="584" t="s">
        <v>1888</v>
      </c>
      <c r="CQ634" s="584" t="s">
        <v>3479</v>
      </c>
      <c r="CR634" s="584" t="s">
        <v>3479</v>
      </c>
      <c r="CS634" s="584" t="s">
        <v>2583</v>
      </c>
      <c r="CT634" s="584" t="s">
        <v>2584</v>
      </c>
      <c r="CU634" s="584" t="s">
        <v>3080</v>
      </c>
      <c r="CV634" s="585" t="s">
        <v>3081</v>
      </c>
    </row>
    <row r="635" spans="91:100" ht="25.5" x14ac:dyDescent="0.25">
      <c r="CM635" s="582"/>
      <c r="CN635" s="584" t="s">
        <v>3480</v>
      </c>
      <c r="CO635" s="584" t="s">
        <v>1910</v>
      </c>
      <c r="CP635" s="584" t="s">
        <v>1888</v>
      </c>
      <c r="CQ635" s="584" t="s">
        <v>3481</v>
      </c>
      <c r="CR635" s="584" t="s">
        <v>3481</v>
      </c>
      <c r="CS635" s="584" t="s">
        <v>2583</v>
      </c>
      <c r="CT635" s="584" t="s">
        <v>2584</v>
      </c>
      <c r="CU635" s="584" t="s">
        <v>3080</v>
      </c>
      <c r="CV635" s="585" t="s">
        <v>3081</v>
      </c>
    </row>
    <row r="636" spans="91:100" ht="25.5" x14ac:dyDescent="0.25">
      <c r="CM636" s="582"/>
      <c r="CN636" s="584" t="s">
        <v>3482</v>
      </c>
      <c r="CO636" s="584" t="s">
        <v>1910</v>
      </c>
      <c r="CP636" s="584" t="s">
        <v>1888</v>
      </c>
      <c r="CQ636" s="584" t="s">
        <v>3483</v>
      </c>
      <c r="CR636" s="584" t="s">
        <v>3483</v>
      </c>
      <c r="CS636" s="584" t="s">
        <v>2583</v>
      </c>
      <c r="CT636" s="584" t="s">
        <v>2584</v>
      </c>
      <c r="CU636" s="584" t="s">
        <v>3080</v>
      </c>
      <c r="CV636" s="585" t="s">
        <v>3081</v>
      </c>
    </row>
    <row r="637" spans="91:100" ht="25.5" x14ac:dyDescent="0.25">
      <c r="CM637" s="582"/>
      <c r="CN637" s="584" t="s">
        <v>3484</v>
      </c>
      <c r="CO637" s="584" t="s">
        <v>1910</v>
      </c>
      <c r="CP637" s="584" t="s">
        <v>1888</v>
      </c>
      <c r="CQ637" s="584" t="s">
        <v>3485</v>
      </c>
      <c r="CR637" s="584" t="s">
        <v>3485</v>
      </c>
      <c r="CS637" s="584" t="s">
        <v>2583</v>
      </c>
      <c r="CT637" s="584" t="s">
        <v>2584</v>
      </c>
      <c r="CU637" s="584" t="s">
        <v>3080</v>
      </c>
      <c r="CV637" s="585" t="s">
        <v>3081</v>
      </c>
    </row>
    <row r="638" spans="91:100" ht="25.5" x14ac:dyDescent="0.25">
      <c r="CM638" s="582"/>
      <c r="CN638" s="584" t="s">
        <v>3486</v>
      </c>
      <c r="CO638" s="584" t="s">
        <v>1910</v>
      </c>
      <c r="CP638" s="584" t="s">
        <v>1888</v>
      </c>
      <c r="CQ638" s="584" t="s">
        <v>3487</v>
      </c>
      <c r="CR638" s="584" t="s">
        <v>3487</v>
      </c>
      <c r="CS638" s="584" t="s">
        <v>2583</v>
      </c>
      <c r="CT638" s="584" t="s">
        <v>2584</v>
      </c>
      <c r="CU638" s="584" t="s">
        <v>3080</v>
      </c>
      <c r="CV638" s="585" t="s">
        <v>3081</v>
      </c>
    </row>
    <row r="639" spans="91:100" ht="25.5" x14ac:dyDescent="0.25">
      <c r="CM639" s="582"/>
      <c r="CN639" s="584" t="s">
        <v>3488</v>
      </c>
      <c r="CO639" s="584" t="s">
        <v>1910</v>
      </c>
      <c r="CP639" s="584" t="s">
        <v>1888</v>
      </c>
      <c r="CQ639" s="584" t="s">
        <v>3489</v>
      </c>
      <c r="CR639" s="584" t="s">
        <v>3489</v>
      </c>
      <c r="CS639" s="584" t="s">
        <v>2583</v>
      </c>
      <c r="CT639" s="584" t="s">
        <v>2584</v>
      </c>
      <c r="CU639" s="584" t="s">
        <v>3080</v>
      </c>
      <c r="CV639" s="585" t="s">
        <v>3081</v>
      </c>
    </row>
    <row r="640" spans="91:100" ht="25.5" x14ac:dyDescent="0.25">
      <c r="CM640" s="582"/>
      <c r="CN640" s="584" t="s">
        <v>3490</v>
      </c>
      <c r="CO640" s="584" t="s">
        <v>1910</v>
      </c>
      <c r="CP640" s="584" t="s">
        <v>1888</v>
      </c>
      <c r="CQ640" s="584" t="s">
        <v>3491</v>
      </c>
      <c r="CR640" s="584" t="s">
        <v>3491</v>
      </c>
      <c r="CS640" s="584" t="s">
        <v>2583</v>
      </c>
      <c r="CT640" s="584" t="s">
        <v>2584</v>
      </c>
      <c r="CU640" s="584" t="s">
        <v>3080</v>
      </c>
      <c r="CV640" s="585" t="s">
        <v>3081</v>
      </c>
    </row>
    <row r="641" spans="91:100" ht="25.5" x14ac:dyDescent="0.25">
      <c r="CM641" s="582"/>
      <c r="CN641" s="584" t="s">
        <v>3492</v>
      </c>
      <c r="CO641" s="584" t="s">
        <v>1910</v>
      </c>
      <c r="CP641" s="584" t="s">
        <v>1888</v>
      </c>
      <c r="CQ641" s="584" t="s">
        <v>3493</v>
      </c>
      <c r="CR641" s="584" t="s">
        <v>3493</v>
      </c>
      <c r="CS641" s="584" t="s">
        <v>2583</v>
      </c>
      <c r="CT641" s="584" t="s">
        <v>2584</v>
      </c>
      <c r="CU641" s="584" t="s">
        <v>3080</v>
      </c>
      <c r="CV641" s="585" t="s">
        <v>3081</v>
      </c>
    </row>
    <row r="642" spans="91:100" ht="25.5" x14ac:dyDescent="0.25">
      <c r="CM642" s="582"/>
      <c r="CN642" s="584" t="s">
        <v>3494</v>
      </c>
      <c r="CO642" s="584" t="s">
        <v>1910</v>
      </c>
      <c r="CP642" s="584" t="s">
        <v>1888</v>
      </c>
      <c r="CQ642" s="584" t="s">
        <v>3495</v>
      </c>
      <c r="CR642" s="584" t="s">
        <v>3495</v>
      </c>
      <c r="CS642" s="584" t="s">
        <v>2583</v>
      </c>
      <c r="CT642" s="584" t="s">
        <v>2584</v>
      </c>
      <c r="CU642" s="584" t="s">
        <v>3080</v>
      </c>
      <c r="CV642" s="585" t="s">
        <v>3081</v>
      </c>
    </row>
    <row r="643" spans="91:100" ht="25.5" x14ac:dyDescent="0.25">
      <c r="CM643" s="582"/>
      <c r="CN643" s="584" t="s">
        <v>3496</v>
      </c>
      <c r="CO643" s="584" t="s">
        <v>1910</v>
      </c>
      <c r="CP643" s="584" t="s">
        <v>1888</v>
      </c>
      <c r="CQ643" s="584" t="s">
        <v>3497</v>
      </c>
      <c r="CR643" s="584" t="s">
        <v>3497</v>
      </c>
      <c r="CS643" s="584" t="s">
        <v>2583</v>
      </c>
      <c r="CT643" s="584" t="s">
        <v>2584</v>
      </c>
      <c r="CU643" s="584" t="s">
        <v>3080</v>
      </c>
      <c r="CV643" s="585" t="s">
        <v>3081</v>
      </c>
    </row>
    <row r="644" spans="91:100" ht="25.5" x14ac:dyDescent="0.25">
      <c r="CM644" s="582"/>
      <c r="CN644" s="584" t="s">
        <v>3498</v>
      </c>
      <c r="CO644" s="584" t="s">
        <v>1910</v>
      </c>
      <c r="CP644" s="584" t="s">
        <v>1888</v>
      </c>
      <c r="CQ644" s="584" t="s">
        <v>3499</v>
      </c>
      <c r="CR644" s="584" t="s">
        <v>3499</v>
      </c>
      <c r="CS644" s="584" t="s">
        <v>2583</v>
      </c>
      <c r="CT644" s="584" t="s">
        <v>2584</v>
      </c>
      <c r="CU644" s="584" t="s">
        <v>3080</v>
      </c>
      <c r="CV644" s="585" t="s">
        <v>3081</v>
      </c>
    </row>
    <row r="645" spans="91:100" ht="25.5" x14ac:dyDescent="0.25">
      <c r="CM645" s="582"/>
      <c r="CN645" s="584" t="s">
        <v>3500</v>
      </c>
      <c r="CO645" s="584" t="s">
        <v>1910</v>
      </c>
      <c r="CP645" s="584" t="s">
        <v>1888</v>
      </c>
      <c r="CQ645" s="584" t="s">
        <v>3501</v>
      </c>
      <c r="CR645" s="584" t="s">
        <v>3501</v>
      </c>
      <c r="CS645" s="584" t="s">
        <v>2583</v>
      </c>
      <c r="CT645" s="584" t="s">
        <v>2584</v>
      </c>
      <c r="CU645" s="584" t="s">
        <v>3080</v>
      </c>
      <c r="CV645" s="585" t="s">
        <v>3081</v>
      </c>
    </row>
    <row r="646" spans="91:100" ht="25.5" x14ac:dyDescent="0.25">
      <c r="CM646" s="582"/>
      <c r="CN646" s="584" t="s">
        <v>3502</v>
      </c>
      <c r="CO646" s="584" t="s">
        <v>1910</v>
      </c>
      <c r="CP646" s="584" t="s">
        <v>1888</v>
      </c>
      <c r="CQ646" s="584" t="s">
        <v>3503</v>
      </c>
      <c r="CR646" s="584" t="s">
        <v>3503</v>
      </c>
      <c r="CS646" s="584" t="s">
        <v>2583</v>
      </c>
      <c r="CT646" s="584" t="s">
        <v>2584</v>
      </c>
      <c r="CU646" s="584" t="s">
        <v>3080</v>
      </c>
      <c r="CV646" s="585" t="s">
        <v>3081</v>
      </c>
    </row>
    <row r="647" spans="91:100" ht="25.5" x14ac:dyDescent="0.25">
      <c r="CM647" s="582"/>
      <c r="CN647" s="584" t="s">
        <v>3504</v>
      </c>
      <c r="CO647" s="584" t="s">
        <v>1910</v>
      </c>
      <c r="CP647" s="584" t="s">
        <v>1888</v>
      </c>
      <c r="CQ647" s="584" t="s">
        <v>3505</v>
      </c>
      <c r="CR647" s="584" t="s">
        <v>3505</v>
      </c>
      <c r="CS647" s="584" t="s">
        <v>2583</v>
      </c>
      <c r="CT647" s="584" t="s">
        <v>2584</v>
      </c>
      <c r="CU647" s="584" t="s">
        <v>3080</v>
      </c>
      <c r="CV647" s="585" t="s">
        <v>3081</v>
      </c>
    </row>
    <row r="648" spans="91:100" ht="25.5" x14ac:dyDescent="0.25">
      <c r="CM648" s="582"/>
      <c r="CN648" s="584" t="s">
        <v>3506</v>
      </c>
      <c r="CO648" s="584" t="s">
        <v>1910</v>
      </c>
      <c r="CP648" s="584" t="s">
        <v>1888</v>
      </c>
      <c r="CQ648" s="584" t="s">
        <v>3507</v>
      </c>
      <c r="CR648" s="584" t="s">
        <v>3507</v>
      </c>
      <c r="CS648" s="584" t="s">
        <v>2583</v>
      </c>
      <c r="CT648" s="584" t="s">
        <v>2584</v>
      </c>
      <c r="CU648" s="584" t="s">
        <v>3080</v>
      </c>
      <c r="CV648" s="585" t="s">
        <v>3081</v>
      </c>
    </row>
    <row r="649" spans="91:100" ht="25.5" x14ac:dyDescent="0.25">
      <c r="CM649" s="582"/>
      <c r="CN649" s="584" t="s">
        <v>3508</v>
      </c>
      <c r="CO649" s="584" t="s">
        <v>1910</v>
      </c>
      <c r="CP649" s="584" t="s">
        <v>1888</v>
      </c>
      <c r="CQ649" s="584" t="s">
        <v>3509</v>
      </c>
      <c r="CR649" s="584" t="s">
        <v>3509</v>
      </c>
      <c r="CS649" s="584" t="s">
        <v>2583</v>
      </c>
      <c r="CT649" s="584" t="s">
        <v>2584</v>
      </c>
      <c r="CU649" s="584" t="s">
        <v>3080</v>
      </c>
      <c r="CV649" s="585" t="s">
        <v>3081</v>
      </c>
    </row>
    <row r="650" spans="91:100" ht="25.5" x14ac:dyDescent="0.25">
      <c r="CM650" s="582"/>
      <c r="CN650" s="584" t="s">
        <v>3510</v>
      </c>
      <c r="CO650" s="584" t="s">
        <v>1910</v>
      </c>
      <c r="CP650" s="584" t="s">
        <v>1888</v>
      </c>
      <c r="CQ650" s="584" t="s">
        <v>3511</v>
      </c>
      <c r="CR650" s="584" t="s">
        <v>3511</v>
      </c>
      <c r="CS650" s="584" t="s">
        <v>2583</v>
      </c>
      <c r="CT650" s="584" t="s">
        <v>2584</v>
      </c>
      <c r="CU650" s="584" t="s">
        <v>3080</v>
      </c>
      <c r="CV650" s="585" t="s">
        <v>3081</v>
      </c>
    </row>
    <row r="651" spans="91:100" ht="25.5" x14ac:dyDescent="0.25">
      <c r="CM651" s="582"/>
      <c r="CN651" s="584" t="s">
        <v>3512</v>
      </c>
      <c r="CO651" s="584" t="s">
        <v>1910</v>
      </c>
      <c r="CP651" s="584" t="s">
        <v>1888</v>
      </c>
      <c r="CQ651" s="584" t="s">
        <v>3513</v>
      </c>
      <c r="CR651" s="584" t="s">
        <v>3513</v>
      </c>
      <c r="CS651" s="584" t="s">
        <v>2583</v>
      </c>
      <c r="CT651" s="584" t="s">
        <v>2584</v>
      </c>
      <c r="CU651" s="584" t="s">
        <v>3080</v>
      </c>
      <c r="CV651" s="585" t="s">
        <v>3081</v>
      </c>
    </row>
    <row r="652" spans="91:100" ht="25.5" x14ac:dyDescent="0.25">
      <c r="CM652" s="582"/>
      <c r="CN652" s="584" t="s">
        <v>3514</v>
      </c>
      <c r="CO652" s="584" t="s">
        <v>1910</v>
      </c>
      <c r="CP652" s="584" t="s">
        <v>1888</v>
      </c>
      <c r="CQ652" s="584" t="s">
        <v>3515</v>
      </c>
      <c r="CR652" s="584" t="s">
        <v>3515</v>
      </c>
      <c r="CS652" s="584" t="s">
        <v>2583</v>
      </c>
      <c r="CT652" s="584" t="s">
        <v>2584</v>
      </c>
      <c r="CU652" s="584" t="s">
        <v>3080</v>
      </c>
      <c r="CV652" s="585" t="s">
        <v>3081</v>
      </c>
    </row>
    <row r="653" spans="91:100" ht="25.5" x14ac:dyDescent="0.25">
      <c r="CM653" s="582"/>
      <c r="CN653" s="584" t="s">
        <v>3516</v>
      </c>
      <c r="CO653" s="584" t="s">
        <v>1910</v>
      </c>
      <c r="CP653" s="584" t="s">
        <v>1888</v>
      </c>
      <c r="CQ653" s="584" t="s">
        <v>3517</v>
      </c>
      <c r="CR653" s="584" t="s">
        <v>3517</v>
      </c>
      <c r="CS653" s="584" t="s">
        <v>2583</v>
      </c>
      <c r="CT653" s="584" t="s">
        <v>2584</v>
      </c>
      <c r="CU653" s="584" t="s">
        <v>3080</v>
      </c>
      <c r="CV653" s="585" t="s">
        <v>3081</v>
      </c>
    </row>
    <row r="654" spans="91:100" ht="25.5" x14ac:dyDescent="0.25">
      <c r="CM654" s="582"/>
      <c r="CN654" s="584" t="s">
        <v>3518</v>
      </c>
      <c r="CO654" s="584" t="s">
        <v>1910</v>
      </c>
      <c r="CP654" s="584" t="s">
        <v>1888</v>
      </c>
      <c r="CQ654" s="584" t="s">
        <v>3519</v>
      </c>
      <c r="CR654" s="584" t="s">
        <v>3519</v>
      </c>
      <c r="CS654" s="584" t="s">
        <v>2583</v>
      </c>
      <c r="CT654" s="584" t="s">
        <v>2584</v>
      </c>
      <c r="CU654" s="584" t="s">
        <v>3080</v>
      </c>
      <c r="CV654" s="585" t="s">
        <v>3081</v>
      </c>
    </row>
    <row r="655" spans="91:100" ht="25.5" x14ac:dyDescent="0.25">
      <c r="CM655" s="582"/>
      <c r="CN655" s="584" t="s">
        <v>3520</v>
      </c>
      <c r="CO655" s="584" t="s">
        <v>1910</v>
      </c>
      <c r="CP655" s="584" t="s">
        <v>1888</v>
      </c>
      <c r="CQ655" s="584" t="s">
        <v>3521</v>
      </c>
      <c r="CR655" s="584" t="s">
        <v>3521</v>
      </c>
      <c r="CS655" s="584" t="s">
        <v>2583</v>
      </c>
      <c r="CT655" s="584" t="s">
        <v>2584</v>
      </c>
      <c r="CU655" s="584" t="s">
        <v>3080</v>
      </c>
      <c r="CV655" s="585" t="s">
        <v>3081</v>
      </c>
    </row>
    <row r="656" spans="91:100" ht="25.5" x14ac:dyDescent="0.25">
      <c r="CM656" s="582"/>
      <c r="CN656" s="584" t="s">
        <v>3522</v>
      </c>
      <c r="CO656" s="584" t="s">
        <v>1910</v>
      </c>
      <c r="CP656" s="584" t="s">
        <v>1888</v>
      </c>
      <c r="CQ656" s="584" t="s">
        <v>3523</v>
      </c>
      <c r="CR656" s="584" t="s">
        <v>3523</v>
      </c>
      <c r="CS656" s="584" t="s">
        <v>2583</v>
      </c>
      <c r="CT656" s="584" t="s">
        <v>2584</v>
      </c>
      <c r="CU656" s="584" t="s">
        <v>3080</v>
      </c>
      <c r="CV656" s="585" t="s">
        <v>3081</v>
      </c>
    </row>
    <row r="657" spans="91:100" ht="25.5" x14ac:dyDescent="0.25">
      <c r="CM657" s="582"/>
      <c r="CN657" s="584" t="s">
        <v>3524</v>
      </c>
      <c r="CO657" s="584" t="s">
        <v>1910</v>
      </c>
      <c r="CP657" s="584" t="s">
        <v>1888</v>
      </c>
      <c r="CQ657" s="584" t="s">
        <v>3525</v>
      </c>
      <c r="CR657" s="584" t="s">
        <v>3525</v>
      </c>
      <c r="CS657" s="584" t="s">
        <v>2583</v>
      </c>
      <c r="CT657" s="584" t="s">
        <v>2584</v>
      </c>
      <c r="CU657" s="584" t="s">
        <v>3080</v>
      </c>
      <c r="CV657" s="585" t="s">
        <v>3081</v>
      </c>
    </row>
    <row r="658" spans="91:100" ht="25.5" x14ac:dyDescent="0.25">
      <c r="CM658" s="582"/>
      <c r="CN658" s="584" t="s">
        <v>3526</v>
      </c>
      <c r="CO658" s="584" t="s">
        <v>1910</v>
      </c>
      <c r="CP658" s="584" t="s">
        <v>1888</v>
      </c>
      <c r="CQ658" s="584" t="s">
        <v>3527</v>
      </c>
      <c r="CR658" s="584" t="s">
        <v>3527</v>
      </c>
      <c r="CS658" s="584" t="s">
        <v>2583</v>
      </c>
      <c r="CT658" s="584" t="s">
        <v>2584</v>
      </c>
      <c r="CU658" s="584" t="s">
        <v>3080</v>
      </c>
      <c r="CV658" s="585" t="s">
        <v>3081</v>
      </c>
    </row>
    <row r="659" spans="91:100" ht="25.5" x14ac:dyDescent="0.25">
      <c r="CM659" s="582"/>
      <c r="CN659" s="584" t="s">
        <v>3528</v>
      </c>
      <c r="CO659" s="584" t="s">
        <v>1910</v>
      </c>
      <c r="CP659" s="584" t="s">
        <v>1888</v>
      </c>
      <c r="CQ659" s="584" t="s">
        <v>3529</v>
      </c>
      <c r="CR659" s="584" t="s">
        <v>3529</v>
      </c>
      <c r="CS659" s="584" t="s">
        <v>2583</v>
      </c>
      <c r="CT659" s="584" t="s">
        <v>2584</v>
      </c>
      <c r="CU659" s="584" t="s">
        <v>3080</v>
      </c>
      <c r="CV659" s="585" t="s">
        <v>3081</v>
      </c>
    </row>
    <row r="660" spans="91:100" ht="25.5" x14ac:dyDescent="0.25">
      <c r="CM660" s="582"/>
      <c r="CN660" s="584" t="s">
        <v>3530</v>
      </c>
      <c r="CO660" s="584" t="s">
        <v>1910</v>
      </c>
      <c r="CP660" s="584" t="s">
        <v>1888</v>
      </c>
      <c r="CQ660" s="584" t="s">
        <v>3531</v>
      </c>
      <c r="CR660" s="584" t="s">
        <v>3531</v>
      </c>
      <c r="CS660" s="584" t="s">
        <v>2583</v>
      </c>
      <c r="CT660" s="584" t="s">
        <v>2584</v>
      </c>
      <c r="CU660" s="584" t="s">
        <v>3080</v>
      </c>
      <c r="CV660" s="585" t="s">
        <v>3081</v>
      </c>
    </row>
    <row r="661" spans="91:100" ht="25.5" x14ac:dyDescent="0.25">
      <c r="CM661" s="582"/>
      <c r="CN661" s="584" t="s">
        <v>3532</v>
      </c>
      <c r="CO661" s="584" t="s">
        <v>1910</v>
      </c>
      <c r="CP661" s="584" t="s">
        <v>1888</v>
      </c>
      <c r="CQ661" s="584" t="s">
        <v>3533</v>
      </c>
      <c r="CR661" s="584" t="s">
        <v>3533</v>
      </c>
      <c r="CS661" s="584" t="s">
        <v>2583</v>
      </c>
      <c r="CT661" s="584" t="s">
        <v>2584</v>
      </c>
      <c r="CU661" s="584" t="s">
        <v>3080</v>
      </c>
      <c r="CV661" s="585" t="s">
        <v>3081</v>
      </c>
    </row>
    <row r="662" spans="91:100" ht="25.5" x14ac:dyDescent="0.25">
      <c r="CM662" s="582"/>
      <c r="CN662" s="584" t="s">
        <v>3534</v>
      </c>
      <c r="CO662" s="584" t="s">
        <v>1910</v>
      </c>
      <c r="CP662" s="584" t="s">
        <v>1888</v>
      </c>
      <c r="CQ662" s="584" t="s">
        <v>3535</v>
      </c>
      <c r="CR662" s="584" t="s">
        <v>3535</v>
      </c>
      <c r="CS662" s="584" t="s">
        <v>2583</v>
      </c>
      <c r="CT662" s="584" t="s">
        <v>2584</v>
      </c>
      <c r="CU662" s="584" t="s">
        <v>3080</v>
      </c>
      <c r="CV662" s="585" t="s">
        <v>3081</v>
      </c>
    </row>
    <row r="663" spans="91:100" ht="25.5" x14ac:dyDescent="0.25">
      <c r="CM663" s="582"/>
      <c r="CN663" s="584" t="s">
        <v>3536</v>
      </c>
      <c r="CO663" s="584" t="s">
        <v>1910</v>
      </c>
      <c r="CP663" s="584" t="s">
        <v>1888</v>
      </c>
      <c r="CQ663" s="584" t="s">
        <v>3537</v>
      </c>
      <c r="CR663" s="584" t="s">
        <v>3537</v>
      </c>
      <c r="CS663" s="584" t="s">
        <v>2583</v>
      </c>
      <c r="CT663" s="584" t="s">
        <v>2584</v>
      </c>
      <c r="CU663" s="584" t="s">
        <v>3080</v>
      </c>
      <c r="CV663" s="585" t="s">
        <v>3081</v>
      </c>
    </row>
    <row r="664" spans="91:100" ht="25.5" x14ac:dyDescent="0.25">
      <c r="CM664" s="582"/>
      <c r="CN664" s="584" t="s">
        <v>3538</v>
      </c>
      <c r="CO664" s="584" t="s">
        <v>1910</v>
      </c>
      <c r="CP664" s="584" t="s">
        <v>1888</v>
      </c>
      <c r="CQ664" s="584" t="s">
        <v>3539</v>
      </c>
      <c r="CR664" s="584" t="s">
        <v>3539</v>
      </c>
      <c r="CS664" s="584" t="s">
        <v>2583</v>
      </c>
      <c r="CT664" s="584" t="s">
        <v>2584</v>
      </c>
      <c r="CU664" s="584" t="s">
        <v>3080</v>
      </c>
      <c r="CV664" s="585" t="s">
        <v>3081</v>
      </c>
    </row>
    <row r="665" spans="91:100" ht="25.5" x14ac:dyDescent="0.25">
      <c r="CM665" s="582"/>
      <c r="CN665" s="584" t="s">
        <v>3540</v>
      </c>
      <c r="CO665" s="584" t="s">
        <v>1910</v>
      </c>
      <c r="CP665" s="584" t="s">
        <v>1888</v>
      </c>
      <c r="CQ665" s="584" t="s">
        <v>3541</v>
      </c>
      <c r="CR665" s="584" t="s">
        <v>3541</v>
      </c>
      <c r="CS665" s="584" t="s">
        <v>2583</v>
      </c>
      <c r="CT665" s="584" t="s">
        <v>2584</v>
      </c>
      <c r="CU665" s="584" t="s">
        <v>3080</v>
      </c>
      <c r="CV665" s="585" t="s">
        <v>3081</v>
      </c>
    </row>
    <row r="666" spans="91:100" ht="25.5" x14ac:dyDescent="0.25">
      <c r="CM666" s="582"/>
      <c r="CN666" s="584" t="s">
        <v>3542</v>
      </c>
      <c r="CO666" s="584" t="s">
        <v>1910</v>
      </c>
      <c r="CP666" s="584" t="s">
        <v>1888</v>
      </c>
      <c r="CQ666" s="584" t="s">
        <v>3543</v>
      </c>
      <c r="CR666" s="584" t="s">
        <v>3543</v>
      </c>
      <c r="CS666" s="584" t="s">
        <v>2583</v>
      </c>
      <c r="CT666" s="584" t="s">
        <v>2584</v>
      </c>
      <c r="CU666" s="584" t="s">
        <v>3080</v>
      </c>
      <c r="CV666" s="585" t="s">
        <v>3081</v>
      </c>
    </row>
    <row r="667" spans="91:100" ht="25.5" x14ac:dyDescent="0.25">
      <c r="CM667" s="582"/>
      <c r="CN667" s="584" t="s">
        <v>3544</v>
      </c>
      <c r="CO667" s="584" t="s">
        <v>1910</v>
      </c>
      <c r="CP667" s="584" t="s">
        <v>1888</v>
      </c>
      <c r="CQ667" s="584" t="s">
        <v>3545</v>
      </c>
      <c r="CR667" s="584" t="s">
        <v>3545</v>
      </c>
      <c r="CS667" s="584" t="s">
        <v>2583</v>
      </c>
      <c r="CT667" s="584" t="s">
        <v>2584</v>
      </c>
      <c r="CU667" s="584" t="s">
        <v>3080</v>
      </c>
      <c r="CV667" s="585" t="s">
        <v>3081</v>
      </c>
    </row>
    <row r="668" spans="91:100" ht="25.5" x14ac:dyDescent="0.25">
      <c r="CM668" s="582"/>
      <c r="CN668" s="584" t="s">
        <v>3546</v>
      </c>
      <c r="CO668" s="584" t="s">
        <v>1910</v>
      </c>
      <c r="CP668" s="584" t="s">
        <v>1888</v>
      </c>
      <c r="CQ668" s="584" t="s">
        <v>3547</v>
      </c>
      <c r="CR668" s="584" t="s">
        <v>3547</v>
      </c>
      <c r="CS668" s="584" t="s">
        <v>2583</v>
      </c>
      <c r="CT668" s="584" t="s">
        <v>2584</v>
      </c>
      <c r="CU668" s="584" t="s">
        <v>3080</v>
      </c>
      <c r="CV668" s="585" t="s">
        <v>3081</v>
      </c>
    </row>
    <row r="669" spans="91:100" ht="25.5" x14ac:dyDescent="0.25">
      <c r="CM669" s="582"/>
      <c r="CN669" s="584" t="s">
        <v>3548</v>
      </c>
      <c r="CO669" s="584" t="s">
        <v>1910</v>
      </c>
      <c r="CP669" s="584" t="s">
        <v>1888</v>
      </c>
      <c r="CQ669" s="584" t="s">
        <v>3549</v>
      </c>
      <c r="CR669" s="584" t="s">
        <v>3549</v>
      </c>
      <c r="CS669" s="584" t="s">
        <v>2583</v>
      </c>
      <c r="CT669" s="584" t="s">
        <v>2584</v>
      </c>
      <c r="CU669" s="584" t="s">
        <v>3080</v>
      </c>
      <c r="CV669" s="585" t="s">
        <v>3081</v>
      </c>
    </row>
    <row r="670" spans="91:100" ht="25.5" x14ac:dyDescent="0.25">
      <c r="CM670" s="582"/>
      <c r="CN670" s="584" t="s">
        <v>3550</v>
      </c>
      <c r="CO670" s="584" t="s">
        <v>1910</v>
      </c>
      <c r="CP670" s="584" t="s">
        <v>1888</v>
      </c>
      <c r="CQ670" s="584" t="s">
        <v>3551</v>
      </c>
      <c r="CR670" s="584" t="s">
        <v>3551</v>
      </c>
      <c r="CS670" s="584" t="s">
        <v>2583</v>
      </c>
      <c r="CT670" s="584" t="s">
        <v>2584</v>
      </c>
      <c r="CU670" s="584" t="s">
        <v>3080</v>
      </c>
      <c r="CV670" s="585" t="s">
        <v>3081</v>
      </c>
    </row>
    <row r="671" spans="91:100" ht="25.5" x14ac:dyDescent="0.25">
      <c r="CM671" s="582"/>
      <c r="CN671" s="584" t="s">
        <v>3552</v>
      </c>
      <c r="CO671" s="584" t="s">
        <v>1910</v>
      </c>
      <c r="CP671" s="584" t="s">
        <v>1888</v>
      </c>
      <c r="CQ671" s="584" t="s">
        <v>3553</v>
      </c>
      <c r="CR671" s="584" t="s">
        <v>3553</v>
      </c>
      <c r="CS671" s="584" t="s">
        <v>2583</v>
      </c>
      <c r="CT671" s="584" t="s">
        <v>2584</v>
      </c>
      <c r="CU671" s="584" t="s">
        <v>3080</v>
      </c>
      <c r="CV671" s="585" t="s">
        <v>3081</v>
      </c>
    </row>
    <row r="672" spans="91:100" ht="25.5" x14ac:dyDescent="0.25">
      <c r="CM672" s="582"/>
      <c r="CN672" s="584" t="s">
        <v>3554</v>
      </c>
      <c r="CO672" s="584" t="s">
        <v>1910</v>
      </c>
      <c r="CP672" s="584" t="s">
        <v>1888</v>
      </c>
      <c r="CQ672" s="584" t="s">
        <v>3555</v>
      </c>
      <c r="CR672" s="584" t="s">
        <v>3555</v>
      </c>
      <c r="CS672" s="584" t="s">
        <v>2583</v>
      </c>
      <c r="CT672" s="584" t="s">
        <v>2584</v>
      </c>
      <c r="CU672" s="584" t="s">
        <v>3080</v>
      </c>
      <c r="CV672" s="585" t="s">
        <v>3081</v>
      </c>
    </row>
    <row r="673" spans="91:100" ht="25.5" x14ac:dyDescent="0.25">
      <c r="CM673" s="582"/>
      <c r="CN673" s="584" t="s">
        <v>3556</v>
      </c>
      <c r="CO673" s="584" t="s">
        <v>1910</v>
      </c>
      <c r="CP673" s="584" t="s">
        <v>1888</v>
      </c>
      <c r="CQ673" s="584" t="s">
        <v>3557</v>
      </c>
      <c r="CR673" s="584" t="s">
        <v>3557</v>
      </c>
      <c r="CS673" s="584" t="s">
        <v>2583</v>
      </c>
      <c r="CT673" s="584" t="s">
        <v>2584</v>
      </c>
      <c r="CU673" s="584" t="s">
        <v>3080</v>
      </c>
      <c r="CV673" s="585" t="s">
        <v>3081</v>
      </c>
    </row>
    <row r="674" spans="91:100" ht="25.5" x14ac:dyDescent="0.25">
      <c r="CM674" s="582"/>
      <c r="CN674" s="584" t="s">
        <v>3558</v>
      </c>
      <c r="CO674" s="584" t="s">
        <v>1910</v>
      </c>
      <c r="CP674" s="584" t="s">
        <v>1888</v>
      </c>
      <c r="CQ674" s="584" t="s">
        <v>3559</v>
      </c>
      <c r="CR674" s="584" t="s">
        <v>3559</v>
      </c>
      <c r="CS674" s="584" t="s">
        <v>2583</v>
      </c>
      <c r="CT674" s="584" t="s">
        <v>2584</v>
      </c>
      <c r="CU674" s="584" t="s">
        <v>3080</v>
      </c>
      <c r="CV674" s="585" t="s">
        <v>3081</v>
      </c>
    </row>
    <row r="675" spans="91:100" ht="25.5" x14ac:dyDescent="0.25">
      <c r="CM675" s="582"/>
      <c r="CN675" s="584" t="s">
        <v>3560</v>
      </c>
      <c r="CO675" s="584" t="s">
        <v>1910</v>
      </c>
      <c r="CP675" s="584" t="s">
        <v>1888</v>
      </c>
      <c r="CQ675" s="584" t="s">
        <v>3561</v>
      </c>
      <c r="CR675" s="584" t="s">
        <v>3561</v>
      </c>
      <c r="CS675" s="584" t="s">
        <v>2583</v>
      </c>
      <c r="CT675" s="584" t="s">
        <v>2584</v>
      </c>
      <c r="CU675" s="584" t="s">
        <v>3080</v>
      </c>
      <c r="CV675" s="585" t="s">
        <v>3081</v>
      </c>
    </row>
    <row r="676" spans="91:100" ht="25.5" x14ac:dyDescent="0.25">
      <c r="CM676" s="582"/>
      <c r="CN676" s="584" t="s">
        <v>3562</v>
      </c>
      <c r="CO676" s="584" t="s">
        <v>1910</v>
      </c>
      <c r="CP676" s="584" t="s">
        <v>1888</v>
      </c>
      <c r="CQ676" s="584" t="s">
        <v>3563</v>
      </c>
      <c r="CR676" s="584" t="s">
        <v>3563</v>
      </c>
      <c r="CS676" s="584" t="s">
        <v>2583</v>
      </c>
      <c r="CT676" s="584" t="s">
        <v>2584</v>
      </c>
      <c r="CU676" s="584" t="s">
        <v>3080</v>
      </c>
      <c r="CV676" s="585" t="s">
        <v>3081</v>
      </c>
    </row>
    <row r="677" spans="91:100" ht="25.5" x14ac:dyDescent="0.25">
      <c r="CM677" s="582"/>
      <c r="CN677" s="584" t="s">
        <v>3564</v>
      </c>
      <c r="CO677" s="584" t="s">
        <v>1910</v>
      </c>
      <c r="CP677" s="584" t="s">
        <v>1888</v>
      </c>
      <c r="CQ677" s="584" t="s">
        <v>3565</v>
      </c>
      <c r="CR677" s="584" t="s">
        <v>3565</v>
      </c>
      <c r="CS677" s="584" t="s">
        <v>2583</v>
      </c>
      <c r="CT677" s="584" t="s">
        <v>2584</v>
      </c>
      <c r="CU677" s="584" t="s">
        <v>3080</v>
      </c>
      <c r="CV677" s="585" t="s">
        <v>3081</v>
      </c>
    </row>
    <row r="678" spans="91:100" ht="25.5" x14ac:dyDescent="0.25">
      <c r="CM678" s="582"/>
      <c r="CN678" s="584" t="s">
        <v>3566</v>
      </c>
      <c r="CO678" s="584" t="s">
        <v>1910</v>
      </c>
      <c r="CP678" s="584" t="s">
        <v>1888</v>
      </c>
      <c r="CQ678" s="584" t="s">
        <v>3567</v>
      </c>
      <c r="CR678" s="584" t="s">
        <v>3567</v>
      </c>
      <c r="CS678" s="584" t="s">
        <v>2583</v>
      </c>
      <c r="CT678" s="584" t="s">
        <v>2584</v>
      </c>
      <c r="CU678" s="584" t="s">
        <v>3080</v>
      </c>
      <c r="CV678" s="585" t="s">
        <v>3081</v>
      </c>
    </row>
    <row r="679" spans="91:100" ht="25.5" x14ac:dyDescent="0.25">
      <c r="CM679" s="582"/>
      <c r="CN679" s="584" t="s">
        <v>3568</v>
      </c>
      <c r="CO679" s="584" t="s">
        <v>1910</v>
      </c>
      <c r="CP679" s="584" t="s">
        <v>1888</v>
      </c>
      <c r="CQ679" s="584" t="s">
        <v>3569</v>
      </c>
      <c r="CR679" s="584" t="s">
        <v>3569</v>
      </c>
      <c r="CS679" s="584" t="s">
        <v>2583</v>
      </c>
      <c r="CT679" s="584" t="s">
        <v>2584</v>
      </c>
      <c r="CU679" s="584" t="s">
        <v>3080</v>
      </c>
      <c r="CV679" s="585" t="s">
        <v>3081</v>
      </c>
    </row>
    <row r="680" spans="91:100" ht="25.5" x14ac:dyDescent="0.25">
      <c r="CM680" s="582"/>
      <c r="CN680" s="584" t="s">
        <v>3570</v>
      </c>
      <c r="CO680" s="584" t="s">
        <v>1910</v>
      </c>
      <c r="CP680" s="584" t="s">
        <v>1888</v>
      </c>
      <c r="CQ680" s="584" t="s">
        <v>3571</v>
      </c>
      <c r="CR680" s="584" t="s">
        <v>3571</v>
      </c>
      <c r="CS680" s="584" t="s">
        <v>2583</v>
      </c>
      <c r="CT680" s="584" t="s">
        <v>2584</v>
      </c>
      <c r="CU680" s="584" t="s">
        <v>3080</v>
      </c>
      <c r="CV680" s="585" t="s">
        <v>3081</v>
      </c>
    </row>
    <row r="681" spans="91:100" ht="25.5" x14ac:dyDescent="0.25">
      <c r="CM681" s="582"/>
      <c r="CN681" s="584" t="s">
        <v>3572</v>
      </c>
      <c r="CO681" s="584" t="s">
        <v>1910</v>
      </c>
      <c r="CP681" s="584" t="s">
        <v>1888</v>
      </c>
      <c r="CQ681" s="584" t="s">
        <v>3573</v>
      </c>
      <c r="CR681" s="584" t="s">
        <v>3573</v>
      </c>
      <c r="CS681" s="584" t="s">
        <v>2583</v>
      </c>
      <c r="CT681" s="584" t="s">
        <v>2584</v>
      </c>
      <c r="CU681" s="584" t="s">
        <v>3080</v>
      </c>
      <c r="CV681" s="585" t="s">
        <v>3081</v>
      </c>
    </row>
    <row r="682" spans="91:100" ht="25.5" x14ac:dyDescent="0.25">
      <c r="CM682" s="582"/>
      <c r="CN682" s="584" t="s">
        <v>3574</v>
      </c>
      <c r="CO682" s="584" t="s">
        <v>1910</v>
      </c>
      <c r="CP682" s="584" t="s">
        <v>1888</v>
      </c>
      <c r="CQ682" s="584" t="s">
        <v>3575</v>
      </c>
      <c r="CR682" s="584" t="s">
        <v>3575</v>
      </c>
      <c r="CS682" s="584" t="s">
        <v>2583</v>
      </c>
      <c r="CT682" s="584" t="s">
        <v>2584</v>
      </c>
      <c r="CU682" s="584" t="s">
        <v>3080</v>
      </c>
      <c r="CV682" s="585" t="s">
        <v>3081</v>
      </c>
    </row>
    <row r="683" spans="91:100" ht="25.5" x14ac:dyDescent="0.25">
      <c r="CM683" s="582"/>
      <c r="CN683" s="584" t="s">
        <v>3576</v>
      </c>
      <c r="CO683" s="584" t="s">
        <v>1910</v>
      </c>
      <c r="CP683" s="584" t="s">
        <v>1888</v>
      </c>
      <c r="CQ683" s="584" t="s">
        <v>3577</v>
      </c>
      <c r="CR683" s="584" t="s">
        <v>3577</v>
      </c>
      <c r="CS683" s="584" t="s">
        <v>2583</v>
      </c>
      <c r="CT683" s="584" t="s">
        <v>2584</v>
      </c>
      <c r="CU683" s="584" t="s">
        <v>3080</v>
      </c>
      <c r="CV683" s="585" t="s">
        <v>3081</v>
      </c>
    </row>
    <row r="684" spans="91:100" ht="25.5" x14ac:dyDescent="0.25">
      <c r="CM684" s="582"/>
      <c r="CN684" s="584" t="s">
        <v>3578</v>
      </c>
      <c r="CO684" s="584" t="s">
        <v>1910</v>
      </c>
      <c r="CP684" s="584" t="s">
        <v>1888</v>
      </c>
      <c r="CQ684" s="584" t="s">
        <v>3579</v>
      </c>
      <c r="CR684" s="584" t="s">
        <v>3579</v>
      </c>
      <c r="CS684" s="584" t="s">
        <v>2583</v>
      </c>
      <c r="CT684" s="584" t="s">
        <v>2584</v>
      </c>
      <c r="CU684" s="584" t="s">
        <v>3080</v>
      </c>
      <c r="CV684" s="585" t="s">
        <v>3081</v>
      </c>
    </row>
    <row r="685" spans="91:100" ht="25.5" x14ac:dyDescent="0.25">
      <c r="CM685" s="582"/>
      <c r="CN685" s="584" t="s">
        <v>3580</v>
      </c>
      <c r="CO685" s="584" t="s">
        <v>1910</v>
      </c>
      <c r="CP685" s="584" t="s">
        <v>1888</v>
      </c>
      <c r="CQ685" s="584" t="s">
        <v>3581</v>
      </c>
      <c r="CR685" s="584" t="s">
        <v>3581</v>
      </c>
      <c r="CS685" s="584" t="s">
        <v>2583</v>
      </c>
      <c r="CT685" s="584" t="s">
        <v>2584</v>
      </c>
      <c r="CU685" s="584" t="s">
        <v>3080</v>
      </c>
      <c r="CV685" s="585" t="s">
        <v>3081</v>
      </c>
    </row>
    <row r="686" spans="91:100" ht="25.5" x14ac:dyDescent="0.25">
      <c r="CM686" s="582"/>
      <c r="CN686" s="584" t="s">
        <v>3582</v>
      </c>
      <c r="CO686" s="584" t="s">
        <v>1910</v>
      </c>
      <c r="CP686" s="584" t="s">
        <v>1888</v>
      </c>
      <c r="CQ686" s="584" t="s">
        <v>3583</v>
      </c>
      <c r="CR686" s="584" t="s">
        <v>3583</v>
      </c>
      <c r="CS686" s="584" t="s">
        <v>2583</v>
      </c>
      <c r="CT686" s="584" t="s">
        <v>2584</v>
      </c>
      <c r="CU686" s="584" t="s">
        <v>3080</v>
      </c>
      <c r="CV686" s="585" t="s">
        <v>3081</v>
      </c>
    </row>
    <row r="687" spans="91:100" ht="25.5" x14ac:dyDescent="0.25">
      <c r="CM687" s="582"/>
      <c r="CN687" s="584" t="s">
        <v>3584</v>
      </c>
      <c r="CO687" s="584" t="s">
        <v>1910</v>
      </c>
      <c r="CP687" s="584" t="s">
        <v>1888</v>
      </c>
      <c r="CQ687" s="584" t="s">
        <v>3585</v>
      </c>
      <c r="CR687" s="584" t="s">
        <v>3585</v>
      </c>
      <c r="CS687" s="584" t="s">
        <v>2583</v>
      </c>
      <c r="CT687" s="584" t="s">
        <v>2584</v>
      </c>
      <c r="CU687" s="584" t="s">
        <v>3080</v>
      </c>
      <c r="CV687" s="585" t="s">
        <v>3081</v>
      </c>
    </row>
    <row r="688" spans="91:100" ht="25.5" x14ac:dyDescent="0.25">
      <c r="CM688" s="582"/>
      <c r="CN688" s="584" t="s">
        <v>3586</v>
      </c>
      <c r="CO688" s="584" t="s">
        <v>1910</v>
      </c>
      <c r="CP688" s="584" t="s">
        <v>1888</v>
      </c>
      <c r="CQ688" s="584" t="s">
        <v>3587</v>
      </c>
      <c r="CR688" s="584" t="s">
        <v>3587</v>
      </c>
      <c r="CS688" s="584" t="s">
        <v>2583</v>
      </c>
      <c r="CT688" s="584" t="s">
        <v>2584</v>
      </c>
      <c r="CU688" s="584" t="s">
        <v>3080</v>
      </c>
      <c r="CV688" s="585" t="s">
        <v>3081</v>
      </c>
    </row>
    <row r="689" spans="91:100" ht="25.5" x14ac:dyDescent="0.25">
      <c r="CM689" s="582"/>
      <c r="CN689" s="584" t="s">
        <v>3588</v>
      </c>
      <c r="CO689" s="584" t="s">
        <v>1910</v>
      </c>
      <c r="CP689" s="584" t="s">
        <v>1888</v>
      </c>
      <c r="CQ689" s="584" t="s">
        <v>3589</v>
      </c>
      <c r="CR689" s="584" t="s">
        <v>3589</v>
      </c>
      <c r="CS689" s="584" t="s">
        <v>2583</v>
      </c>
      <c r="CT689" s="584" t="s">
        <v>2584</v>
      </c>
      <c r="CU689" s="584" t="s">
        <v>3080</v>
      </c>
      <c r="CV689" s="585" t="s">
        <v>3081</v>
      </c>
    </row>
    <row r="690" spans="91:100" ht="25.5" x14ac:dyDescent="0.25">
      <c r="CM690" s="582"/>
      <c r="CN690" s="584" t="s">
        <v>3590</v>
      </c>
      <c r="CO690" s="584" t="s">
        <v>1910</v>
      </c>
      <c r="CP690" s="584" t="s">
        <v>1888</v>
      </c>
      <c r="CQ690" s="584" t="s">
        <v>3591</v>
      </c>
      <c r="CR690" s="584" t="s">
        <v>3591</v>
      </c>
      <c r="CS690" s="584" t="s">
        <v>2583</v>
      </c>
      <c r="CT690" s="584" t="s">
        <v>2584</v>
      </c>
      <c r="CU690" s="584" t="s">
        <v>3080</v>
      </c>
      <c r="CV690" s="585" t="s">
        <v>3081</v>
      </c>
    </row>
    <row r="691" spans="91:100" ht="25.5" x14ac:dyDescent="0.25">
      <c r="CM691" s="582"/>
      <c r="CN691" s="584" t="s">
        <v>3592</v>
      </c>
      <c r="CO691" s="584" t="s">
        <v>1910</v>
      </c>
      <c r="CP691" s="584" t="s">
        <v>1888</v>
      </c>
      <c r="CQ691" s="584" t="s">
        <v>3593</v>
      </c>
      <c r="CR691" s="584" t="s">
        <v>3593</v>
      </c>
      <c r="CS691" s="584" t="s">
        <v>2583</v>
      </c>
      <c r="CT691" s="584" t="s">
        <v>2584</v>
      </c>
      <c r="CU691" s="584" t="s">
        <v>3080</v>
      </c>
      <c r="CV691" s="585" t="s">
        <v>3081</v>
      </c>
    </row>
    <row r="692" spans="91:100" ht="25.5" x14ac:dyDescent="0.25">
      <c r="CM692" s="582"/>
      <c r="CN692" s="584" t="s">
        <v>3594</v>
      </c>
      <c r="CO692" s="584" t="s">
        <v>1910</v>
      </c>
      <c r="CP692" s="584" t="s">
        <v>1888</v>
      </c>
      <c r="CQ692" s="584" t="s">
        <v>3595</v>
      </c>
      <c r="CR692" s="584" t="s">
        <v>3595</v>
      </c>
      <c r="CS692" s="584" t="s">
        <v>2583</v>
      </c>
      <c r="CT692" s="584" t="s">
        <v>2584</v>
      </c>
      <c r="CU692" s="584" t="s">
        <v>3080</v>
      </c>
      <c r="CV692" s="585" t="s">
        <v>3081</v>
      </c>
    </row>
    <row r="693" spans="91:100" ht="25.5" x14ac:dyDescent="0.25">
      <c r="CM693" s="582"/>
      <c r="CN693" s="584" t="s">
        <v>3596</v>
      </c>
      <c r="CO693" s="584" t="s">
        <v>1910</v>
      </c>
      <c r="CP693" s="584" t="s">
        <v>1888</v>
      </c>
      <c r="CQ693" s="584" t="s">
        <v>3597</v>
      </c>
      <c r="CR693" s="584" t="s">
        <v>3597</v>
      </c>
      <c r="CS693" s="584" t="s">
        <v>2583</v>
      </c>
      <c r="CT693" s="584" t="s">
        <v>2584</v>
      </c>
      <c r="CU693" s="584" t="s">
        <v>3080</v>
      </c>
      <c r="CV693" s="585" t="s">
        <v>3081</v>
      </c>
    </row>
    <row r="694" spans="91:100" ht="25.5" x14ac:dyDescent="0.25">
      <c r="CM694" s="582"/>
      <c r="CN694" s="584" t="s">
        <v>3598</v>
      </c>
      <c r="CO694" s="584" t="s">
        <v>1910</v>
      </c>
      <c r="CP694" s="584" t="s">
        <v>1888</v>
      </c>
      <c r="CQ694" s="584" t="s">
        <v>3599</v>
      </c>
      <c r="CR694" s="584" t="s">
        <v>3599</v>
      </c>
      <c r="CS694" s="584" t="s">
        <v>2583</v>
      </c>
      <c r="CT694" s="584" t="s">
        <v>2584</v>
      </c>
      <c r="CU694" s="584" t="s">
        <v>3080</v>
      </c>
      <c r="CV694" s="585" t="s">
        <v>3081</v>
      </c>
    </row>
    <row r="695" spans="91:100" ht="25.5" x14ac:dyDescent="0.25">
      <c r="CM695" s="582"/>
      <c r="CN695" s="584" t="s">
        <v>3600</v>
      </c>
      <c r="CO695" s="584" t="s">
        <v>1910</v>
      </c>
      <c r="CP695" s="584" t="s">
        <v>1888</v>
      </c>
      <c r="CQ695" s="584" t="s">
        <v>3601</v>
      </c>
      <c r="CR695" s="584" t="s">
        <v>3601</v>
      </c>
      <c r="CS695" s="584" t="s">
        <v>2583</v>
      </c>
      <c r="CT695" s="584" t="s">
        <v>2584</v>
      </c>
      <c r="CU695" s="584" t="s">
        <v>3080</v>
      </c>
      <c r="CV695" s="585" t="s">
        <v>3081</v>
      </c>
    </row>
    <row r="696" spans="91:100" ht="25.5" x14ac:dyDescent="0.25">
      <c r="CM696" s="582"/>
      <c r="CN696" s="584" t="s">
        <v>3602</v>
      </c>
      <c r="CO696" s="584" t="s">
        <v>1910</v>
      </c>
      <c r="CP696" s="584" t="s">
        <v>1888</v>
      </c>
      <c r="CQ696" s="584" t="s">
        <v>3603</v>
      </c>
      <c r="CR696" s="584" t="s">
        <v>3603</v>
      </c>
      <c r="CS696" s="584" t="s">
        <v>2583</v>
      </c>
      <c r="CT696" s="584" t="s">
        <v>2584</v>
      </c>
      <c r="CU696" s="584" t="s">
        <v>3080</v>
      </c>
      <c r="CV696" s="585" t="s">
        <v>3081</v>
      </c>
    </row>
    <row r="697" spans="91:100" ht="25.5" x14ac:dyDescent="0.25">
      <c r="CM697" s="582"/>
      <c r="CN697" s="584" t="s">
        <v>3604</v>
      </c>
      <c r="CO697" s="584" t="s">
        <v>1910</v>
      </c>
      <c r="CP697" s="584" t="s">
        <v>1888</v>
      </c>
      <c r="CQ697" s="584" t="s">
        <v>3605</v>
      </c>
      <c r="CR697" s="584" t="s">
        <v>3605</v>
      </c>
      <c r="CS697" s="584" t="s">
        <v>2583</v>
      </c>
      <c r="CT697" s="584" t="s">
        <v>2584</v>
      </c>
      <c r="CU697" s="584" t="s">
        <v>3080</v>
      </c>
      <c r="CV697" s="585" t="s">
        <v>3081</v>
      </c>
    </row>
    <row r="698" spans="91:100" ht="25.5" x14ac:dyDescent="0.25">
      <c r="CM698" s="582"/>
      <c r="CN698" s="584" t="s">
        <v>3606</v>
      </c>
      <c r="CO698" s="584" t="s">
        <v>1910</v>
      </c>
      <c r="CP698" s="584" t="s">
        <v>1888</v>
      </c>
      <c r="CQ698" s="584" t="s">
        <v>3607</v>
      </c>
      <c r="CR698" s="584" t="s">
        <v>3607</v>
      </c>
      <c r="CS698" s="584" t="s">
        <v>2583</v>
      </c>
      <c r="CT698" s="584" t="s">
        <v>2584</v>
      </c>
      <c r="CU698" s="584" t="s">
        <v>3080</v>
      </c>
      <c r="CV698" s="585" t="s">
        <v>3081</v>
      </c>
    </row>
    <row r="699" spans="91:100" ht="25.5" x14ac:dyDescent="0.25">
      <c r="CM699" s="582"/>
      <c r="CN699" s="584" t="s">
        <v>3608</v>
      </c>
      <c r="CO699" s="584" t="s">
        <v>1910</v>
      </c>
      <c r="CP699" s="584" t="s">
        <v>1888</v>
      </c>
      <c r="CQ699" s="584" t="s">
        <v>3609</v>
      </c>
      <c r="CR699" s="584" t="s">
        <v>3609</v>
      </c>
      <c r="CS699" s="584" t="s">
        <v>2583</v>
      </c>
      <c r="CT699" s="584" t="s">
        <v>2584</v>
      </c>
      <c r="CU699" s="584" t="s">
        <v>3080</v>
      </c>
      <c r="CV699" s="585" t="s">
        <v>3081</v>
      </c>
    </row>
    <row r="700" spans="91:100" ht="25.5" x14ac:dyDescent="0.25">
      <c r="CM700" s="582"/>
      <c r="CN700" s="584" t="s">
        <v>3610</v>
      </c>
      <c r="CO700" s="584" t="s">
        <v>1910</v>
      </c>
      <c r="CP700" s="584" t="s">
        <v>1888</v>
      </c>
      <c r="CQ700" s="584" t="s">
        <v>3611</v>
      </c>
      <c r="CR700" s="584" t="s">
        <v>3611</v>
      </c>
      <c r="CS700" s="584" t="s">
        <v>2583</v>
      </c>
      <c r="CT700" s="584" t="s">
        <v>2584</v>
      </c>
      <c r="CU700" s="584" t="s">
        <v>3080</v>
      </c>
      <c r="CV700" s="585" t="s">
        <v>3081</v>
      </c>
    </row>
    <row r="701" spans="91:100" ht="25.5" x14ac:dyDescent="0.25">
      <c r="CM701" s="582"/>
      <c r="CN701" s="584" t="s">
        <v>3612</v>
      </c>
      <c r="CO701" s="584" t="s">
        <v>1910</v>
      </c>
      <c r="CP701" s="584" t="s">
        <v>1888</v>
      </c>
      <c r="CQ701" s="584" t="s">
        <v>3613</v>
      </c>
      <c r="CR701" s="584" t="s">
        <v>3613</v>
      </c>
      <c r="CS701" s="584" t="s">
        <v>2583</v>
      </c>
      <c r="CT701" s="584" t="s">
        <v>2584</v>
      </c>
      <c r="CU701" s="584" t="s">
        <v>3080</v>
      </c>
      <c r="CV701" s="585" t="s">
        <v>3081</v>
      </c>
    </row>
    <row r="702" spans="91:100" ht="25.5" x14ac:dyDescent="0.25">
      <c r="CM702" s="582"/>
      <c r="CN702" s="584" t="s">
        <v>3614</v>
      </c>
      <c r="CO702" s="584" t="s">
        <v>1910</v>
      </c>
      <c r="CP702" s="584" t="s">
        <v>1888</v>
      </c>
      <c r="CQ702" s="584" t="s">
        <v>3615</v>
      </c>
      <c r="CR702" s="584" t="s">
        <v>3615</v>
      </c>
      <c r="CS702" s="584" t="s">
        <v>2583</v>
      </c>
      <c r="CT702" s="584" t="s">
        <v>2584</v>
      </c>
      <c r="CU702" s="584" t="s">
        <v>3080</v>
      </c>
      <c r="CV702" s="585" t="s">
        <v>3081</v>
      </c>
    </row>
    <row r="703" spans="91:100" ht="25.5" x14ac:dyDescent="0.25">
      <c r="CM703" s="582"/>
      <c r="CN703" s="584" t="s">
        <v>3616</v>
      </c>
      <c r="CO703" s="584" t="s">
        <v>1910</v>
      </c>
      <c r="CP703" s="584" t="s">
        <v>1888</v>
      </c>
      <c r="CQ703" s="584" t="s">
        <v>3617</v>
      </c>
      <c r="CR703" s="584" t="s">
        <v>3617</v>
      </c>
      <c r="CS703" s="584" t="s">
        <v>2583</v>
      </c>
      <c r="CT703" s="584" t="s">
        <v>2584</v>
      </c>
      <c r="CU703" s="584" t="s">
        <v>3080</v>
      </c>
      <c r="CV703" s="585" t="s">
        <v>3081</v>
      </c>
    </row>
    <row r="704" spans="91:100" ht="25.5" x14ac:dyDescent="0.25">
      <c r="CM704" s="582"/>
      <c r="CN704" s="584" t="s">
        <v>3618</v>
      </c>
      <c r="CO704" s="584" t="s">
        <v>1910</v>
      </c>
      <c r="CP704" s="584" t="s">
        <v>1888</v>
      </c>
      <c r="CQ704" s="584" t="s">
        <v>3619</v>
      </c>
      <c r="CR704" s="584" t="s">
        <v>3619</v>
      </c>
      <c r="CS704" s="584" t="s">
        <v>2583</v>
      </c>
      <c r="CT704" s="584" t="s">
        <v>2584</v>
      </c>
      <c r="CU704" s="584" t="s">
        <v>3080</v>
      </c>
      <c r="CV704" s="585" t="s">
        <v>3081</v>
      </c>
    </row>
    <row r="705" spans="91:100" ht="25.5" x14ac:dyDescent="0.25">
      <c r="CM705" s="582"/>
      <c r="CN705" s="584" t="s">
        <v>3620</v>
      </c>
      <c r="CO705" s="584" t="s">
        <v>1910</v>
      </c>
      <c r="CP705" s="584" t="s">
        <v>1888</v>
      </c>
      <c r="CQ705" s="584" t="s">
        <v>3621</v>
      </c>
      <c r="CR705" s="584" t="s">
        <v>3621</v>
      </c>
      <c r="CS705" s="584" t="s">
        <v>2583</v>
      </c>
      <c r="CT705" s="584" t="s">
        <v>2584</v>
      </c>
      <c r="CU705" s="584" t="s">
        <v>3080</v>
      </c>
      <c r="CV705" s="585" t="s">
        <v>3081</v>
      </c>
    </row>
    <row r="706" spans="91:100" ht="25.5" x14ac:dyDescent="0.25">
      <c r="CM706" s="582"/>
      <c r="CN706" s="584" t="s">
        <v>3622</v>
      </c>
      <c r="CO706" s="584" t="s">
        <v>1910</v>
      </c>
      <c r="CP706" s="584" t="s">
        <v>1888</v>
      </c>
      <c r="CQ706" s="584" t="s">
        <v>3623</v>
      </c>
      <c r="CR706" s="584" t="s">
        <v>3623</v>
      </c>
      <c r="CS706" s="584" t="s">
        <v>2583</v>
      </c>
      <c r="CT706" s="584" t="s">
        <v>2584</v>
      </c>
      <c r="CU706" s="584" t="s">
        <v>3080</v>
      </c>
      <c r="CV706" s="585" t="s">
        <v>3081</v>
      </c>
    </row>
    <row r="707" spans="91:100" ht="25.5" x14ac:dyDescent="0.25">
      <c r="CM707" s="582"/>
      <c r="CN707" s="584" t="s">
        <v>3624</v>
      </c>
      <c r="CO707" s="584" t="s">
        <v>1910</v>
      </c>
      <c r="CP707" s="584" t="s">
        <v>1888</v>
      </c>
      <c r="CQ707" s="584" t="s">
        <v>3625</v>
      </c>
      <c r="CR707" s="584" t="s">
        <v>3625</v>
      </c>
      <c r="CS707" s="584" t="s">
        <v>2583</v>
      </c>
      <c r="CT707" s="584" t="s">
        <v>2584</v>
      </c>
      <c r="CU707" s="584" t="s">
        <v>3080</v>
      </c>
      <c r="CV707" s="585" t="s">
        <v>3081</v>
      </c>
    </row>
    <row r="708" spans="91:100" ht="25.5" x14ac:dyDescent="0.25">
      <c r="CM708" s="582"/>
      <c r="CN708" s="584" t="s">
        <v>3626</v>
      </c>
      <c r="CO708" s="584" t="s">
        <v>1910</v>
      </c>
      <c r="CP708" s="584" t="s">
        <v>1888</v>
      </c>
      <c r="CQ708" s="584" t="s">
        <v>3627</v>
      </c>
      <c r="CR708" s="584" t="s">
        <v>3627</v>
      </c>
      <c r="CS708" s="584" t="s">
        <v>2583</v>
      </c>
      <c r="CT708" s="584" t="s">
        <v>2584</v>
      </c>
      <c r="CU708" s="584" t="s">
        <v>3080</v>
      </c>
      <c r="CV708" s="585" t="s">
        <v>3081</v>
      </c>
    </row>
    <row r="709" spans="91:100" ht="25.5" x14ac:dyDescent="0.25">
      <c r="CM709" s="582"/>
      <c r="CN709" s="584" t="s">
        <v>3628</v>
      </c>
      <c r="CO709" s="584" t="s">
        <v>1910</v>
      </c>
      <c r="CP709" s="584" t="s">
        <v>1888</v>
      </c>
      <c r="CQ709" s="584" t="s">
        <v>3629</v>
      </c>
      <c r="CR709" s="584" t="s">
        <v>3629</v>
      </c>
      <c r="CS709" s="584" t="s">
        <v>2583</v>
      </c>
      <c r="CT709" s="584" t="s">
        <v>2584</v>
      </c>
      <c r="CU709" s="584" t="s">
        <v>3080</v>
      </c>
      <c r="CV709" s="585" t="s">
        <v>3081</v>
      </c>
    </row>
    <row r="710" spans="91:100" ht="25.5" x14ac:dyDescent="0.25">
      <c r="CM710" s="582"/>
      <c r="CN710" s="584" t="s">
        <v>3630</v>
      </c>
      <c r="CO710" s="584" t="s">
        <v>1910</v>
      </c>
      <c r="CP710" s="584" t="s">
        <v>1888</v>
      </c>
      <c r="CQ710" s="584" t="s">
        <v>3631</v>
      </c>
      <c r="CR710" s="584" t="s">
        <v>3631</v>
      </c>
      <c r="CS710" s="584" t="s">
        <v>2583</v>
      </c>
      <c r="CT710" s="584" t="s">
        <v>2584</v>
      </c>
      <c r="CU710" s="584" t="s">
        <v>3080</v>
      </c>
      <c r="CV710" s="585" t="s">
        <v>3081</v>
      </c>
    </row>
    <row r="711" spans="91:100" ht="25.5" x14ac:dyDescent="0.25">
      <c r="CM711" s="582"/>
      <c r="CN711" s="584" t="s">
        <v>3632</v>
      </c>
      <c r="CO711" s="584" t="s">
        <v>1910</v>
      </c>
      <c r="CP711" s="584" t="s">
        <v>1888</v>
      </c>
      <c r="CQ711" s="584" t="s">
        <v>3633</v>
      </c>
      <c r="CR711" s="584" t="s">
        <v>3633</v>
      </c>
      <c r="CS711" s="584" t="s">
        <v>2583</v>
      </c>
      <c r="CT711" s="584" t="s">
        <v>2584</v>
      </c>
      <c r="CU711" s="584" t="s">
        <v>3080</v>
      </c>
      <c r="CV711" s="585" t="s">
        <v>3081</v>
      </c>
    </row>
    <row r="712" spans="91:100" ht="25.5" x14ac:dyDescent="0.25">
      <c r="CM712" s="582"/>
      <c r="CN712" s="584" t="s">
        <v>3634</v>
      </c>
      <c r="CO712" s="584" t="s">
        <v>1910</v>
      </c>
      <c r="CP712" s="584" t="s">
        <v>1888</v>
      </c>
      <c r="CQ712" s="584" t="s">
        <v>3635</v>
      </c>
      <c r="CR712" s="584" t="s">
        <v>3635</v>
      </c>
      <c r="CS712" s="584" t="s">
        <v>2583</v>
      </c>
      <c r="CT712" s="584" t="s">
        <v>2584</v>
      </c>
      <c r="CU712" s="584" t="s">
        <v>3080</v>
      </c>
      <c r="CV712" s="585" t="s">
        <v>3081</v>
      </c>
    </row>
    <row r="713" spans="91:100" ht="25.5" x14ac:dyDescent="0.25">
      <c r="CM713" s="582"/>
      <c r="CN713" s="584" t="s">
        <v>3636</v>
      </c>
      <c r="CO713" s="584" t="s">
        <v>1910</v>
      </c>
      <c r="CP713" s="584" t="s">
        <v>1888</v>
      </c>
      <c r="CQ713" s="584" t="s">
        <v>3637</v>
      </c>
      <c r="CR713" s="584" t="s">
        <v>3637</v>
      </c>
      <c r="CS713" s="584" t="s">
        <v>2583</v>
      </c>
      <c r="CT713" s="584" t="s">
        <v>2584</v>
      </c>
      <c r="CU713" s="584" t="s">
        <v>3080</v>
      </c>
      <c r="CV713" s="585" t="s">
        <v>3081</v>
      </c>
    </row>
    <row r="714" spans="91:100" ht="25.5" x14ac:dyDescent="0.25">
      <c r="CM714" s="582"/>
      <c r="CN714" s="584" t="s">
        <v>3638</v>
      </c>
      <c r="CO714" s="584" t="s">
        <v>1910</v>
      </c>
      <c r="CP714" s="584" t="s">
        <v>1888</v>
      </c>
      <c r="CQ714" s="584" t="s">
        <v>3639</v>
      </c>
      <c r="CR714" s="584" t="s">
        <v>3639</v>
      </c>
      <c r="CS714" s="584" t="s">
        <v>2583</v>
      </c>
      <c r="CT714" s="584" t="s">
        <v>2584</v>
      </c>
      <c r="CU714" s="584" t="s">
        <v>3080</v>
      </c>
      <c r="CV714" s="585" t="s">
        <v>3081</v>
      </c>
    </row>
    <row r="715" spans="91:100" ht="25.5" x14ac:dyDescent="0.25">
      <c r="CM715" s="582"/>
      <c r="CN715" s="584" t="s">
        <v>3640</v>
      </c>
      <c r="CO715" s="584" t="s">
        <v>1910</v>
      </c>
      <c r="CP715" s="584" t="s">
        <v>1888</v>
      </c>
      <c r="CQ715" s="584" t="s">
        <v>3641</v>
      </c>
      <c r="CR715" s="584" t="s">
        <v>3641</v>
      </c>
      <c r="CS715" s="584" t="s">
        <v>2583</v>
      </c>
      <c r="CT715" s="584" t="s">
        <v>2584</v>
      </c>
      <c r="CU715" s="584" t="s">
        <v>3080</v>
      </c>
      <c r="CV715" s="585" t="s">
        <v>3081</v>
      </c>
    </row>
    <row r="716" spans="91:100" ht="25.5" x14ac:dyDescent="0.25">
      <c r="CM716" s="582"/>
      <c r="CN716" s="584" t="s">
        <v>3642</v>
      </c>
      <c r="CO716" s="584" t="s">
        <v>1910</v>
      </c>
      <c r="CP716" s="584" t="s">
        <v>1888</v>
      </c>
      <c r="CQ716" s="584" t="s">
        <v>3643</v>
      </c>
      <c r="CR716" s="584" t="s">
        <v>3643</v>
      </c>
      <c r="CS716" s="584" t="s">
        <v>2583</v>
      </c>
      <c r="CT716" s="584" t="s">
        <v>2584</v>
      </c>
      <c r="CU716" s="584" t="s">
        <v>3080</v>
      </c>
      <c r="CV716" s="585" t="s">
        <v>3081</v>
      </c>
    </row>
    <row r="717" spans="91:100" ht="25.5" x14ac:dyDescent="0.25">
      <c r="CM717" s="582"/>
      <c r="CN717" s="584" t="s">
        <v>3644</v>
      </c>
      <c r="CO717" s="584" t="s">
        <v>1910</v>
      </c>
      <c r="CP717" s="584" t="s">
        <v>1888</v>
      </c>
      <c r="CQ717" s="584" t="s">
        <v>3645</v>
      </c>
      <c r="CR717" s="584" t="s">
        <v>3645</v>
      </c>
      <c r="CS717" s="584" t="s">
        <v>2583</v>
      </c>
      <c r="CT717" s="584" t="s">
        <v>2584</v>
      </c>
      <c r="CU717" s="584" t="s">
        <v>3080</v>
      </c>
      <c r="CV717" s="585" t="s">
        <v>3081</v>
      </c>
    </row>
    <row r="718" spans="91:100" ht="25.5" x14ac:dyDescent="0.25">
      <c r="CM718" s="582"/>
      <c r="CN718" s="584" t="s">
        <v>3646</v>
      </c>
      <c r="CO718" s="584" t="s">
        <v>1910</v>
      </c>
      <c r="CP718" s="584" t="s">
        <v>1888</v>
      </c>
      <c r="CQ718" s="584" t="s">
        <v>3647</v>
      </c>
      <c r="CR718" s="584" t="s">
        <v>3647</v>
      </c>
      <c r="CS718" s="584" t="s">
        <v>2583</v>
      </c>
      <c r="CT718" s="584" t="s">
        <v>2584</v>
      </c>
      <c r="CU718" s="584" t="s">
        <v>3080</v>
      </c>
      <c r="CV718" s="585" t="s">
        <v>3081</v>
      </c>
    </row>
    <row r="719" spans="91:100" ht="25.5" x14ac:dyDescent="0.25">
      <c r="CM719" s="582"/>
      <c r="CN719" s="584" t="s">
        <v>3648</v>
      </c>
      <c r="CO719" s="584" t="s">
        <v>1910</v>
      </c>
      <c r="CP719" s="584" t="s">
        <v>1888</v>
      </c>
      <c r="CQ719" s="584" t="s">
        <v>3649</v>
      </c>
      <c r="CR719" s="584" t="s">
        <v>3649</v>
      </c>
      <c r="CS719" s="584" t="s">
        <v>2583</v>
      </c>
      <c r="CT719" s="584" t="s">
        <v>2584</v>
      </c>
      <c r="CU719" s="584" t="s">
        <v>3080</v>
      </c>
      <c r="CV719" s="585" t="s">
        <v>3081</v>
      </c>
    </row>
    <row r="720" spans="91:100" ht="25.5" x14ac:dyDescent="0.25">
      <c r="CM720" s="582"/>
      <c r="CN720" s="584" t="s">
        <v>3650</v>
      </c>
      <c r="CO720" s="584" t="s">
        <v>1910</v>
      </c>
      <c r="CP720" s="584" t="s">
        <v>1888</v>
      </c>
      <c r="CQ720" s="584" t="s">
        <v>3651</v>
      </c>
      <c r="CR720" s="584" t="s">
        <v>3651</v>
      </c>
      <c r="CS720" s="584" t="s">
        <v>2583</v>
      </c>
      <c r="CT720" s="584" t="s">
        <v>2584</v>
      </c>
      <c r="CU720" s="584" t="s">
        <v>3080</v>
      </c>
      <c r="CV720" s="585" t="s">
        <v>3081</v>
      </c>
    </row>
    <row r="721" spans="91:100" ht="25.5" x14ac:dyDescent="0.25">
      <c r="CM721" s="582"/>
      <c r="CN721" s="584" t="s">
        <v>3652</v>
      </c>
      <c r="CO721" s="584" t="s">
        <v>1910</v>
      </c>
      <c r="CP721" s="584" t="s">
        <v>1888</v>
      </c>
      <c r="CQ721" s="584" t="s">
        <v>3653</v>
      </c>
      <c r="CR721" s="584" t="s">
        <v>3653</v>
      </c>
      <c r="CS721" s="584" t="s">
        <v>2583</v>
      </c>
      <c r="CT721" s="584" t="s">
        <v>2584</v>
      </c>
      <c r="CU721" s="584" t="s">
        <v>3080</v>
      </c>
      <c r="CV721" s="585" t="s">
        <v>3081</v>
      </c>
    </row>
    <row r="722" spans="91:100" ht="25.5" x14ac:dyDescent="0.25">
      <c r="CM722" s="582"/>
      <c r="CN722" s="584" t="s">
        <v>3654</v>
      </c>
      <c r="CO722" s="584" t="s">
        <v>1910</v>
      </c>
      <c r="CP722" s="584" t="s">
        <v>1888</v>
      </c>
      <c r="CQ722" s="584" t="s">
        <v>3655</v>
      </c>
      <c r="CR722" s="584" t="s">
        <v>3655</v>
      </c>
      <c r="CS722" s="584" t="s">
        <v>2583</v>
      </c>
      <c r="CT722" s="584" t="s">
        <v>2584</v>
      </c>
      <c r="CU722" s="584" t="s">
        <v>3080</v>
      </c>
      <c r="CV722" s="585" t="s">
        <v>3081</v>
      </c>
    </row>
    <row r="723" spans="91:100" ht="25.5" x14ac:dyDescent="0.25">
      <c r="CM723" s="582"/>
      <c r="CN723" s="584" t="s">
        <v>3656</v>
      </c>
      <c r="CO723" s="584" t="s">
        <v>1910</v>
      </c>
      <c r="CP723" s="584" t="s">
        <v>1888</v>
      </c>
      <c r="CQ723" s="584" t="s">
        <v>3657</v>
      </c>
      <c r="CR723" s="584" t="s">
        <v>3657</v>
      </c>
      <c r="CS723" s="584" t="s">
        <v>2583</v>
      </c>
      <c r="CT723" s="584" t="s">
        <v>2584</v>
      </c>
      <c r="CU723" s="584" t="s">
        <v>3080</v>
      </c>
      <c r="CV723" s="585" t="s">
        <v>3081</v>
      </c>
    </row>
    <row r="724" spans="91:100" ht="25.5" x14ac:dyDescent="0.25">
      <c r="CM724" s="582"/>
      <c r="CN724" s="584" t="s">
        <v>3658</v>
      </c>
      <c r="CO724" s="584" t="s">
        <v>1910</v>
      </c>
      <c r="CP724" s="584" t="s">
        <v>1888</v>
      </c>
      <c r="CQ724" s="584" t="s">
        <v>3659</v>
      </c>
      <c r="CR724" s="584" t="s">
        <v>3659</v>
      </c>
      <c r="CS724" s="584" t="s">
        <v>2583</v>
      </c>
      <c r="CT724" s="584" t="s">
        <v>2584</v>
      </c>
      <c r="CU724" s="584" t="s">
        <v>3080</v>
      </c>
      <c r="CV724" s="585" t="s">
        <v>3081</v>
      </c>
    </row>
    <row r="725" spans="91:100" ht="25.5" x14ac:dyDescent="0.25">
      <c r="CM725" s="582"/>
      <c r="CN725" s="584" t="s">
        <v>3660</v>
      </c>
      <c r="CO725" s="584" t="s">
        <v>1910</v>
      </c>
      <c r="CP725" s="584" t="s">
        <v>1888</v>
      </c>
      <c r="CQ725" s="584" t="s">
        <v>3661</v>
      </c>
      <c r="CR725" s="584" t="s">
        <v>3661</v>
      </c>
      <c r="CS725" s="584" t="s">
        <v>2583</v>
      </c>
      <c r="CT725" s="584" t="s">
        <v>2584</v>
      </c>
      <c r="CU725" s="584" t="s">
        <v>3080</v>
      </c>
      <c r="CV725" s="585" t="s">
        <v>3081</v>
      </c>
    </row>
    <row r="726" spans="91:100" ht="25.5" x14ac:dyDescent="0.25">
      <c r="CM726" s="582"/>
      <c r="CN726" s="584" t="s">
        <v>3662</v>
      </c>
      <c r="CO726" s="584" t="s">
        <v>1910</v>
      </c>
      <c r="CP726" s="584" t="s">
        <v>1888</v>
      </c>
      <c r="CQ726" s="584" t="s">
        <v>3663</v>
      </c>
      <c r="CR726" s="584" t="s">
        <v>3663</v>
      </c>
      <c r="CS726" s="584" t="s">
        <v>2583</v>
      </c>
      <c r="CT726" s="584" t="s">
        <v>2584</v>
      </c>
      <c r="CU726" s="584" t="s">
        <v>3080</v>
      </c>
      <c r="CV726" s="585" t="s">
        <v>3081</v>
      </c>
    </row>
    <row r="727" spans="91:100" ht="25.5" x14ac:dyDescent="0.25">
      <c r="CM727" s="582"/>
      <c r="CN727" s="584" t="s">
        <v>3664</v>
      </c>
      <c r="CO727" s="584" t="s">
        <v>1910</v>
      </c>
      <c r="CP727" s="584" t="s">
        <v>1888</v>
      </c>
      <c r="CQ727" s="584" t="s">
        <v>3665</v>
      </c>
      <c r="CR727" s="584" t="s">
        <v>3665</v>
      </c>
      <c r="CS727" s="584" t="s">
        <v>2583</v>
      </c>
      <c r="CT727" s="584" t="s">
        <v>2584</v>
      </c>
      <c r="CU727" s="584" t="s">
        <v>3080</v>
      </c>
      <c r="CV727" s="585" t="s">
        <v>3081</v>
      </c>
    </row>
    <row r="728" spans="91:100" ht="25.5" x14ac:dyDescent="0.25">
      <c r="CM728" s="582"/>
      <c r="CN728" s="584" t="s">
        <v>3666</v>
      </c>
      <c r="CO728" s="584" t="s">
        <v>1910</v>
      </c>
      <c r="CP728" s="584" t="s">
        <v>1888</v>
      </c>
      <c r="CQ728" s="584" t="s">
        <v>3667</v>
      </c>
      <c r="CR728" s="584" t="s">
        <v>3667</v>
      </c>
      <c r="CS728" s="584" t="s">
        <v>2583</v>
      </c>
      <c r="CT728" s="584" t="s">
        <v>2584</v>
      </c>
      <c r="CU728" s="584" t="s">
        <v>3080</v>
      </c>
      <c r="CV728" s="585" t="s">
        <v>3081</v>
      </c>
    </row>
    <row r="729" spans="91:100" x14ac:dyDescent="0.25">
      <c r="CM729" s="582"/>
      <c r="CN729" s="584" t="s">
        <v>3668</v>
      </c>
      <c r="CO729" s="584" t="s">
        <v>1910</v>
      </c>
      <c r="CP729" s="584" t="s">
        <v>1888</v>
      </c>
      <c r="CQ729" s="584" t="s">
        <v>3669</v>
      </c>
      <c r="CR729" s="584" t="s">
        <v>3669</v>
      </c>
      <c r="CS729" s="584" t="s">
        <v>1890</v>
      </c>
      <c r="CT729" s="584" t="s">
        <v>3163</v>
      </c>
      <c r="CU729" s="584" t="s">
        <v>1892</v>
      </c>
      <c r="CV729" s="585" t="s">
        <v>1893</v>
      </c>
    </row>
    <row r="730" spans="91:100" ht="25.5" x14ac:dyDescent="0.25">
      <c r="CM730" s="582"/>
      <c r="CN730" s="584" t="s">
        <v>3670</v>
      </c>
      <c r="CO730" s="584" t="s">
        <v>1910</v>
      </c>
      <c r="CP730" s="584" t="s">
        <v>1888</v>
      </c>
      <c r="CQ730" s="584" t="s">
        <v>3671</v>
      </c>
      <c r="CR730" s="584" t="s">
        <v>3671</v>
      </c>
      <c r="CS730" s="584" t="s">
        <v>2583</v>
      </c>
      <c r="CT730" s="584" t="s">
        <v>2584</v>
      </c>
      <c r="CU730" s="584" t="s">
        <v>3080</v>
      </c>
      <c r="CV730" s="585" t="s">
        <v>3081</v>
      </c>
    </row>
    <row r="731" spans="91:100" ht="25.5" x14ac:dyDescent="0.25">
      <c r="CM731" s="582"/>
      <c r="CN731" s="584" t="s">
        <v>3672</v>
      </c>
      <c r="CO731" s="584" t="s">
        <v>1910</v>
      </c>
      <c r="CP731" s="584" t="s">
        <v>1888</v>
      </c>
      <c r="CQ731" s="584" t="s">
        <v>3673</v>
      </c>
      <c r="CR731" s="584" t="s">
        <v>3673</v>
      </c>
      <c r="CS731" s="584" t="s">
        <v>2583</v>
      </c>
      <c r="CT731" s="584" t="s">
        <v>2584</v>
      </c>
      <c r="CU731" s="584" t="s">
        <v>3080</v>
      </c>
      <c r="CV731" s="585" t="s">
        <v>3081</v>
      </c>
    </row>
    <row r="732" spans="91:100" ht="25.5" x14ac:dyDescent="0.25">
      <c r="CM732" s="582"/>
      <c r="CN732" s="584" t="s">
        <v>3674</v>
      </c>
      <c r="CO732" s="584" t="s">
        <v>1910</v>
      </c>
      <c r="CP732" s="584" t="s">
        <v>1888</v>
      </c>
      <c r="CQ732" s="584" t="s">
        <v>3675</v>
      </c>
      <c r="CR732" s="584" t="s">
        <v>3675</v>
      </c>
      <c r="CS732" s="584" t="s">
        <v>2583</v>
      </c>
      <c r="CT732" s="584" t="s">
        <v>2584</v>
      </c>
      <c r="CU732" s="584" t="s">
        <v>3080</v>
      </c>
      <c r="CV732" s="585" t="s">
        <v>3081</v>
      </c>
    </row>
    <row r="733" spans="91:100" ht="25.5" x14ac:dyDescent="0.25">
      <c r="CM733" s="582"/>
      <c r="CN733" s="584" t="s">
        <v>3676</v>
      </c>
      <c r="CO733" s="584" t="s">
        <v>1910</v>
      </c>
      <c r="CP733" s="584" t="s">
        <v>1888</v>
      </c>
      <c r="CQ733" s="584" t="s">
        <v>3677</v>
      </c>
      <c r="CR733" s="584" t="s">
        <v>3677</v>
      </c>
      <c r="CS733" s="584" t="s">
        <v>2583</v>
      </c>
      <c r="CT733" s="584" t="s">
        <v>2584</v>
      </c>
      <c r="CU733" s="584" t="s">
        <v>3080</v>
      </c>
      <c r="CV733" s="585" t="s">
        <v>3081</v>
      </c>
    </row>
    <row r="734" spans="91:100" ht="25.5" x14ac:dyDescent="0.25">
      <c r="CM734" s="582"/>
      <c r="CN734" s="584" t="s">
        <v>3678</v>
      </c>
      <c r="CO734" s="584" t="s">
        <v>1910</v>
      </c>
      <c r="CP734" s="584" t="s">
        <v>1888</v>
      </c>
      <c r="CQ734" s="584" t="s">
        <v>3679</v>
      </c>
      <c r="CR734" s="584" t="s">
        <v>3679</v>
      </c>
      <c r="CS734" s="584" t="s">
        <v>2583</v>
      </c>
      <c r="CT734" s="584" t="s">
        <v>2584</v>
      </c>
      <c r="CU734" s="584" t="s">
        <v>3080</v>
      </c>
      <c r="CV734" s="585" t="s">
        <v>3081</v>
      </c>
    </row>
    <row r="735" spans="91:100" x14ac:dyDescent="0.25">
      <c r="CM735" s="582"/>
      <c r="CN735" s="584" t="s">
        <v>3680</v>
      </c>
      <c r="CO735" s="584" t="s">
        <v>1910</v>
      </c>
      <c r="CP735" s="584" t="s">
        <v>1888</v>
      </c>
      <c r="CQ735" s="584" t="s">
        <v>3681</v>
      </c>
      <c r="CR735" s="584" t="s">
        <v>3681</v>
      </c>
      <c r="CS735" s="584" t="s">
        <v>1890</v>
      </c>
      <c r="CT735" s="584" t="s">
        <v>3163</v>
      </c>
      <c r="CU735" s="584" t="s">
        <v>1892</v>
      </c>
      <c r="CV735" s="585" t="s">
        <v>1893</v>
      </c>
    </row>
    <row r="736" spans="91:100" x14ac:dyDescent="0.25">
      <c r="CM736" s="582"/>
      <c r="CN736" s="584" t="s">
        <v>3682</v>
      </c>
      <c r="CO736" s="584" t="s">
        <v>1910</v>
      </c>
      <c r="CP736" s="584" t="s">
        <v>1888</v>
      </c>
      <c r="CQ736" s="584" t="s">
        <v>3683</v>
      </c>
      <c r="CR736" s="584" t="s">
        <v>3683</v>
      </c>
      <c r="CS736" s="584" t="s">
        <v>1978</v>
      </c>
      <c r="CT736" s="584" t="s">
        <v>1979</v>
      </c>
      <c r="CU736" s="584" t="s">
        <v>1892</v>
      </c>
      <c r="CV736" s="585" t="s">
        <v>1980</v>
      </c>
    </row>
    <row r="737" spans="91:100" x14ac:dyDescent="0.25">
      <c r="CM737" s="582"/>
      <c r="CN737" s="584" t="s">
        <v>3684</v>
      </c>
      <c r="CO737" s="584" t="s">
        <v>1910</v>
      </c>
      <c r="CP737" s="584" t="s">
        <v>1888</v>
      </c>
      <c r="CQ737" s="584" t="s">
        <v>3685</v>
      </c>
      <c r="CR737" s="584" t="s">
        <v>3685</v>
      </c>
      <c r="CS737" s="584" t="s">
        <v>1890</v>
      </c>
      <c r="CT737" s="584" t="s">
        <v>3163</v>
      </c>
      <c r="CU737" s="584" t="s">
        <v>1892</v>
      </c>
      <c r="CV737" s="585" t="s">
        <v>1893</v>
      </c>
    </row>
    <row r="738" spans="91:100" ht="25.5" x14ac:dyDescent="0.25">
      <c r="CM738" s="582"/>
      <c r="CN738" s="584" t="s">
        <v>3686</v>
      </c>
      <c r="CO738" s="584" t="s">
        <v>1910</v>
      </c>
      <c r="CP738" s="584" t="s">
        <v>1888</v>
      </c>
      <c r="CQ738" s="584" t="s">
        <v>3687</v>
      </c>
      <c r="CR738" s="584" t="s">
        <v>3687</v>
      </c>
      <c r="CS738" s="584" t="s">
        <v>2583</v>
      </c>
      <c r="CT738" s="584" t="s">
        <v>2584</v>
      </c>
      <c r="CU738" s="584" t="s">
        <v>3080</v>
      </c>
      <c r="CV738" s="585" t="s">
        <v>3081</v>
      </c>
    </row>
    <row r="739" spans="91:100" ht="25.5" x14ac:dyDescent="0.25">
      <c r="CM739" s="582"/>
      <c r="CN739" s="584" t="s">
        <v>3688</v>
      </c>
      <c r="CO739" s="584" t="s">
        <v>1910</v>
      </c>
      <c r="CP739" s="584" t="s">
        <v>1888</v>
      </c>
      <c r="CQ739" s="584" t="s">
        <v>3689</v>
      </c>
      <c r="CR739" s="584" t="s">
        <v>3689</v>
      </c>
      <c r="CS739" s="584" t="s">
        <v>2583</v>
      </c>
      <c r="CT739" s="584" t="s">
        <v>2584</v>
      </c>
      <c r="CU739" s="584" t="s">
        <v>3080</v>
      </c>
      <c r="CV739" s="585" t="s">
        <v>3081</v>
      </c>
    </row>
    <row r="740" spans="91:100" ht="25.5" x14ac:dyDescent="0.25">
      <c r="CM740" s="582"/>
      <c r="CN740" s="584" t="s">
        <v>3690</v>
      </c>
      <c r="CO740" s="584" t="s">
        <v>1910</v>
      </c>
      <c r="CP740" s="584" t="s">
        <v>1888</v>
      </c>
      <c r="CQ740" s="584" t="s">
        <v>3691</v>
      </c>
      <c r="CR740" s="584" t="s">
        <v>3691</v>
      </c>
      <c r="CS740" s="584" t="s">
        <v>2583</v>
      </c>
      <c r="CT740" s="584" t="s">
        <v>2584</v>
      </c>
      <c r="CU740" s="584" t="s">
        <v>3080</v>
      </c>
      <c r="CV740" s="585" t="s">
        <v>3081</v>
      </c>
    </row>
    <row r="741" spans="91:100" ht="25.5" x14ac:dyDescent="0.25">
      <c r="CM741" s="582"/>
      <c r="CN741" s="584" t="s">
        <v>3692</v>
      </c>
      <c r="CO741" s="584" t="s">
        <v>1910</v>
      </c>
      <c r="CP741" s="584" t="s">
        <v>1888</v>
      </c>
      <c r="CQ741" s="584" t="s">
        <v>3693</v>
      </c>
      <c r="CR741" s="584" t="s">
        <v>3693</v>
      </c>
      <c r="CS741" s="584" t="s">
        <v>2583</v>
      </c>
      <c r="CT741" s="584" t="s">
        <v>2584</v>
      </c>
      <c r="CU741" s="584" t="s">
        <v>3080</v>
      </c>
      <c r="CV741" s="585" t="s">
        <v>3081</v>
      </c>
    </row>
    <row r="742" spans="91:100" ht="25.5" x14ac:dyDescent="0.25">
      <c r="CM742" s="582"/>
      <c r="CN742" s="584" t="s">
        <v>3694</v>
      </c>
      <c r="CO742" s="584" t="s">
        <v>1910</v>
      </c>
      <c r="CP742" s="584" t="s">
        <v>1888</v>
      </c>
      <c r="CQ742" s="584" t="s">
        <v>3695</v>
      </c>
      <c r="CR742" s="584" t="s">
        <v>3695</v>
      </c>
      <c r="CS742" s="584" t="s">
        <v>2583</v>
      </c>
      <c r="CT742" s="584" t="s">
        <v>2584</v>
      </c>
      <c r="CU742" s="584" t="s">
        <v>3080</v>
      </c>
      <c r="CV742" s="585" t="s">
        <v>3081</v>
      </c>
    </row>
    <row r="743" spans="91:100" ht="25.5" x14ac:dyDescent="0.25">
      <c r="CM743" s="582"/>
      <c r="CN743" s="584" t="s">
        <v>3696</v>
      </c>
      <c r="CO743" s="584" t="s">
        <v>1910</v>
      </c>
      <c r="CP743" s="584" t="s">
        <v>1888</v>
      </c>
      <c r="CQ743" s="584" t="s">
        <v>3697</v>
      </c>
      <c r="CR743" s="584" t="s">
        <v>3697</v>
      </c>
      <c r="CS743" s="584" t="s">
        <v>2583</v>
      </c>
      <c r="CT743" s="584" t="s">
        <v>2584</v>
      </c>
      <c r="CU743" s="584" t="s">
        <v>3080</v>
      </c>
      <c r="CV743" s="585" t="s">
        <v>3081</v>
      </c>
    </row>
    <row r="744" spans="91:100" ht="25.5" x14ac:dyDescent="0.25">
      <c r="CM744" s="582"/>
      <c r="CN744" s="584" t="s">
        <v>3698</v>
      </c>
      <c r="CO744" s="584" t="s">
        <v>1910</v>
      </c>
      <c r="CP744" s="584" t="s">
        <v>1888</v>
      </c>
      <c r="CQ744" s="584" t="s">
        <v>3699</v>
      </c>
      <c r="CR744" s="584" t="s">
        <v>3699</v>
      </c>
      <c r="CS744" s="584" t="s">
        <v>2583</v>
      </c>
      <c r="CT744" s="584" t="s">
        <v>2584</v>
      </c>
      <c r="CU744" s="584" t="s">
        <v>3080</v>
      </c>
      <c r="CV744" s="585" t="s">
        <v>3081</v>
      </c>
    </row>
    <row r="745" spans="91:100" x14ac:dyDescent="0.25">
      <c r="CM745" s="582"/>
      <c r="CN745" s="584" t="s">
        <v>3700</v>
      </c>
      <c r="CO745" s="584" t="s">
        <v>1910</v>
      </c>
      <c r="CP745" s="584" t="s">
        <v>1888</v>
      </c>
      <c r="CQ745" s="584" t="s">
        <v>3701</v>
      </c>
      <c r="CR745" s="584" t="s">
        <v>3701</v>
      </c>
      <c r="CS745" s="584" t="s">
        <v>1890</v>
      </c>
      <c r="CT745" s="584" t="s">
        <v>3163</v>
      </c>
      <c r="CU745" s="584" t="s">
        <v>1892</v>
      </c>
      <c r="CV745" s="585" t="s">
        <v>1893</v>
      </c>
    </row>
    <row r="746" spans="91:100" ht="25.5" x14ac:dyDescent="0.25">
      <c r="CM746" s="582"/>
      <c r="CN746" s="584" t="s">
        <v>3702</v>
      </c>
      <c r="CO746" s="584" t="s">
        <v>1910</v>
      </c>
      <c r="CP746" s="584" t="s">
        <v>1888</v>
      </c>
      <c r="CQ746" s="584" t="s">
        <v>3703</v>
      </c>
      <c r="CR746" s="584" t="s">
        <v>3703</v>
      </c>
      <c r="CS746" s="584" t="s">
        <v>2583</v>
      </c>
      <c r="CT746" s="584" t="s">
        <v>2584</v>
      </c>
      <c r="CU746" s="584" t="s">
        <v>3080</v>
      </c>
      <c r="CV746" s="585" t="s">
        <v>3081</v>
      </c>
    </row>
    <row r="747" spans="91:100" ht="25.5" x14ac:dyDescent="0.25">
      <c r="CM747" s="582"/>
      <c r="CN747" s="584" t="s">
        <v>3704</v>
      </c>
      <c r="CO747" s="584" t="s">
        <v>1910</v>
      </c>
      <c r="CP747" s="584" t="s">
        <v>1888</v>
      </c>
      <c r="CQ747" s="584" t="s">
        <v>3705</v>
      </c>
      <c r="CR747" s="584" t="s">
        <v>3705</v>
      </c>
      <c r="CS747" s="584" t="s">
        <v>2583</v>
      </c>
      <c r="CT747" s="584" t="s">
        <v>2584</v>
      </c>
      <c r="CU747" s="584" t="s">
        <v>3080</v>
      </c>
      <c r="CV747" s="585" t="s">
        <v>3081</v>
      </c>
    </row>
    <row r="748" spans="91:100" ht="25.5" x14ac:dyDescent="0.25">
      <c r="CM748" s="582"/>
      <c r="CN748" s="584" t="s">
        <v>3706</v>
      </c>
      <c r="CO748" s="584" t="s">
        <v>1910</v>
      </c>
      <c r="CP748" s="584" t="s">
        <v>1888</v>
      </c>
      <c r="CQ748" s="584" t="s">
        <v>3707</v>
      </c>
      <c r="CR748" s="584" t="s">
        <v>3707</v>
      </c>
      <c r="CS748" s="584" t="s">
        <v>2583</v>
      </c>
      <c r="CT748" s="584" t="s">
        <v>2584</v>
      </c>
      <c r="CU748" s="584" t="s">
        <v>3080</v>
      </c>
      <c r="CV748" s="585" t="s">
        <v>3081</v>
      </c>
    </row>
    <row r="749" spans="91:100" x14ac:dyDescent="0.25">
      <c r="CM749" s="582"/>
      <c r="CN749" s="584" t="s">
        <v>3708</v>
      </c>
      <c r="CO749" s="584" t="s">
        <v>1910</v>
      </c>
      <c r="CP749" s="584" t="s">
        <v>1888</v>
      </c>
      <c r="CQ749" s="584" t="s">
        <v>3709</v>
      </c>
      <c r="CR749" s="584" t="s">
        <v>3709</v>
      </c>
      <c r="CS749" s="584" t="s">
        <v>1890</v>
      </c>
      <c r="CT749" s="584" t="s">
        <v>3163</v>
      </c>
      <c r="CU749" s="584" t="s">
        <v>1892</v>
      </c>
      <c r="CV749" s="585" t="s">
        <v>1893</v>
      </c>
    </row>
    <row r="750" spans="91:100" ht="25.5" x14ac:dyDescent="0.25">
      <c r="CM750" s="582"/>
      <c r="CN750" s="584" t="s">
        <v>3710</v>
      </c>
      <c r="CO750" s="584" t="s">
        <v>1910</v>
      </c>
      <c r="CP750" s="584" t="s">
        <v>1888</v>
      </c>
      <c r="CQ750" s="584" t="s">
        <v>3711</v>
      </c>
      <c r="CR750" s="584" t="s">
        <v>3711</v>
      </c>
      <c r="CS750" s="584" t="s">
        <v>2583</v>
      </c>
      <c r="CT750" s="584" t="s">
        <v>2584</v>
      </c>
      <c r="CU750" s="584" t="s">
        <v>3080</v>
      </c>
      <c r="CV750" s="585" t="s">
        <v>3081</v>
      </c>
    </row>
    <row r="751" spans="91:100" ht="25.5" x14ac:dyDescent="0.25">
      <c r="CM751" s="582"/>
      <c r="CN751" s="584" t="s">
        <v>3712</v>
      </c>
      <c r="CO751" s="584" t="s">
        <v>1910</v>
      </c>
      <c r="CP751" s="584" t="s">
        <v>1888</v>
      </c>
      <c r="CQ751" s="584" t="s">
        <v>3713</v>
      </c>
      <c r="CR751" s="584" t="s">
        <v>3713</v>
      </c>
      <c r="CS751" s="584" t="s">
        <v>2583</v>
      </c>
      <c r="CT751" s="584" t="s">
        <v>2584</v>
      </c>
      <c r="CU751" s="584" t="s">
        <v>3080</v>
      </c>
      <c r="CV751" s="585" t="s">
        <v>3081</v>
      </c>
    </row>
    <row r="752" spans="91:100" ht="25.5" x14ac:dyDescent="0.25">
      <c r="CM752" s="582"/>
      <c r="CN752" s="584" t="s">
        <v>3714</v>
      </c>
      <c r="CO752" s="584" t="s">
        <v>1910</v>
      </c>
      <c r="CP752" s="584" t="s">
        <v>1888</v>
      </c>
      <c r="CQ752" s="584" t="s">
        <v>3715</v>
      </c>
      <c r="CR752" s="584" t="s">
        <v>3715</v>
      </c>
      <c r="CS752" s="584" t="s">
        <v>2583</v>
      </c>
      <c r="CT752" s="584" t="s">
        <v>2584</v>
      </c>
      <c r="CU752" s="584" t="s">
        <v>3080</v>
      </c>
      <c r="CV752" s="585" t="s">
        <v>3081</v>
      </c>
    </row>
    <row r="753" spans="91:100" ht="25.5" x14ac:dyDescent="0.25">
      <c r="CM753" s="582"/>
      <c r="CN753" s="584" t="s">
        <v>3716</v>
      </c>
      <c r="CO753" s="584" t="s">
        <v>1910</v>
      </c>
      <c r="CP753" s="584" t="s">
        <v>1888</v>
      </c>
      <c r="CQ753" s="584" t="s">
        <v>3717</v>
      </c>
      <c r="CR753" s="584" t="s">
        <v>3717</v>
      </c>
      <c r="CS753" s="584" t="s">
        <v>2583</v>
      </c>
      <c r="CT753" s="584" t="s">
        <v>2584</v>
      </c>
      <c r="CU753" s="584" t="s">
        <v>3080</v>
      </c>
      <c r="CV753" s="585" t="s">
        <v>3081</v>
      </c>
    </row>
    <row r="754" spans="91:100" ht="25.5" x14ac:dyDescent="0.25">
      <c r="CM754" s="582"/>
      <c r="CN754" s="584" t="s">
        <v>3718</v>
      </c>
      <c r="CO754" s="584" t="s">
        <v>1910</v>
      </c>
      <c r="CP754" s="584" t="s">
        <v>1888</v>
      </c>
      <c r="CQ754" s="584" t="s">
        <v>3719</v>
      </c>
      <c r="CR754" s="584" t="s">
        <v>3719</v>
      </c>
      <c r="CS754" s="584" t="s">
        <v>2583</v>
      </c>
      <c r="CT754" s="584" t="s">
        <v>2584</v>
      </c>
      <c r="CU754" s="584" t="s">
        <v>3080</v>
      </c>
      <c r="CV754" s="585" t="s">
        <v>3081</v>
      </c>
    </row>
    <row r="755" spans="91:100" ht="25.5" x14ac:dyDescent="0.25">
      <c r="CM755" s="582"/>
      <c r="CN755" s="584" t="s">
        <v>3720</v>
      </c>
      <c r="CO755" s="584" t="s">
        <v>1910</v>
      </c>
      <c r="CP755" s="584" t="s">
        <v>1888</v>
      </c>
      <c r="CQ755" s="584" t="s">
        <v>3721</v>
      </c>
      <c r="CR755" s="584" t="s">
        <v>3721</v>
      </c>
      <c r="CS755" s="584" t="s">
        <v>2583</v>
      </c>
      <c r="CT755" s="584" t="s">
        <v>2584</v>
      </c>
      <c r="CU755" s="584" t="s">
        <v>3080</v>
      </c>
      <c r="CV755" s="585" t="s">
        <v>3081</v>
      </c>
    </row>
    <row r="756" spans="91:100" ht="25.5" x14ac:dyDescent="0.25">
      <c r="CM756" s="582"/>
      <c r="CN756" s="584" t="s">
        <v>3722</v>
      </c>
      <c r="CO756" s="584" t="s">
        <v>1910</v>
      </c>
      <c r="CP756" s="584" t="s">
        <v>1888</v>
      </c>
      <c r="CQ756" s="584" t="s">
        <v>3723</v>
      </c>
      <c r="CR756" s="584" t="s">
        <v>3723</v>
      </c>
      <c r="CS756" s="584" t="s">
        <v>2583</v>
      </c>
      <c r="CT756" s="584" t="s">
        <v>2584</v>
      </c>
      <c r="CU756" s="584" t="s">
        <v>3080</v>
      </c>
      <c r="CV756" s="585" t="s">
        <v>3081</v>
      </c>
    </row>
    <row r="757" spans="91:100" ht="25.5" x14ac:dyDescent="0.25">
      <c r="CM757" s="582"/>
      <c r="CN757" s="584" t="s">
        <v>3724</v>
      </c>
      <c r="CO757" s="584" t="s">
        <v>1910</v>
      </c>
      <c r="CP757" s="584" t="s">
        <v>1888</v>
      </c>
      <c r="CQ757" s="584" t="s">
        <v>3725</v>
      </c>
      <c r="CR757" s="584" t="s">
        <v>3725</v>
      </c>
      <c r="CS757" s="584" t="s">
        <v>2583</v>
      </c>
      <c r="CT757" s="584" t="s">
        <v>2584</v>
      </c>
      <c r="CU757" s="584" t="s">
        <v>3080</v>
      </c>
      <c r="CV757" s="585" t="s">
        <v>3081</v>
      </c>
    </row>
    <row r="758" spans="91:100" ht="25.5" x14ac:dyDescent="0.25">
      <c r="CM758" s="582"/>
      <c r="CN758" s="584" t="s">
        <v>3726</v>
      </c>
      <c r="CO758" s="584" t="s">
        <v>1910</v>
      </c>
      <c r="CP758" s="584" t="s">
        <v>1888</v>
      </c>
      <c r="CQ758" s="584" t="s">
        <v>3727</v>
      </c>
      <c r="CR758" s="584" t="s">
        <v>3727</v>
      </c>
      <c r="CS758" s="584" t="s">
        <v>2583</v>
      </c>
      <c r="CT758" s="584" t="s">
        <v>2584</v>
      </c>
      <c r="CU758" s="584" t="s">
        <v>3080</v>
      </c>
      <c r="CV758" s="585" t="s">
        <v>3081</v>
      </c>
    </row>
    <row r="759" spans="91:100" ht="25.5" x14ac:dyDescent="0.25">
      <c r="CM759" s="582"/>
      <c r="CN759" s="584" t="s">
        <v>3728</v>
      </c>
      <c r="CO759" s="584" t="s">
        <v>1910</v>
      </c>
      <c r="CP759" s="584" t="s">
        <v>1888</v>
      </c>
      <c r="CQ759" s="584" t="s">
        <v>3729</v>
      </c>
      <c r="CR759" s="584" t="s">
        <v>3729</v>
      </c>
      <c r="CS759" s="584" t="s">
        <v>2583</v>
      </c>
      <c r="CT759" s="584" t="s">
        <v>2584</v>
      </c>
      <c r="CU759" s="584" t="s">
        <v>3080</v>
      </c>
      <c r="CV759" s="585" t="s">
        <v>3081</v>
      </c>
    </row>
    <row r="760" spans="91:100" ht="25.5" x14ac:dyDescent="0.25">
      <c r="CM760" s="582"/>
      <c r="CN760" s="584" t="s">
        <v>3730</v>
      </c>
      <c r="CO760" s="584" t="s">
        <v>1910</v>
      </c>
      <c r="CP760" s="584" t="s">
        <v>1888</v>
      </c>
      <c r="CQ760" s="584" t="s">
        <v>3731</v>
      </c>
      <c r="CR760" s="584" t="s">
        <v>3731</v>
      </c>
      <c r="CS760" s="584" t="s">
        <v>2583</v>
      </c>
      <c r="CT760" s="584" t="s">
        <v>2584</v>
      </c>
      <c r="CU760" s="584" t="s">
        <v>3080</v>
      </c>
      <c r="CV760" s="585" t="s">
        <v>3081</v>
      </c>
    </row>
    <row r="761" spans="91:100" ht="25.5" x14ac:dyDescent="0.25">
      <c r="CM761" s="582"/>
      <c r="CN761" s="584" t="s">
        <v>3732</v>
      </c>
      <c r="CO761" s="584" t="s">
        <v>1910</v>
      </c>
      <c r="CP761" s="584" t="s">
        <v>1888</v>
      </c>
      <c r="CQ761" s="584" t="s">
        <v>3733</v>
      </c>
      <c r="CR761" s="584" t="s">
        <v>3733</v>
      </c>
      <c r="CS761" s="584" t="s">
        <v>2583</v>
      </c>
      <c r="CT761" s="584" t="s">
        <v>2584</v>
      </c>
      <c r="CU761" s="584" t="s">
        <v>3080</v>
      </c>
      <c r="CV761" s="585" t="s">
        <v>3081</v>
      </c>
    </row>
    <row r="762" spans="91:100" ht="25.5" x14ac:dyDescent="0.25">
      <c r="CM762" s="582"/>
      <c r="CN762" s="584" t="s">
        <v>3734</v>
      </c>
      <c r="CO762" s="584" t="s">
        <v>1910</v>
      </c>
      <c r="CP762" s="584" t="s">
        <v>1888</v>
      </c>
      <c r="CQ762" s="584" t="s">
        <v>3735</v>
      </c>
      <c r="CR762" s="584" t="s">
        <v>3735</v>
      </c>
      <c r="CS762" s="584" t="s">
        <v>2583</v>
      </c>
      <c r="CT762" s="584" t="s">
        <v>2584</v>
      </c>
      <c r="CU762" s="584" t="s">
        <v>3080</v>
      </c>
      <c r="CV762" s="585" t="s">
        <v>3081</v>
      </c>
    </row>
    <row r="763" spans="91:100" x14ac:dyDescent="0.25">
      <c r="CM763" s="582"/>
      <c r="CN763" s="584" t="s">
        <v>3736</v>
      </c>
      <c r="CO763" s="584" t="s">
        <v>1910</v>
      </c>
      <c r="CP763" s="584" t="s">
        <v>1888</v>
      </c>
      <c r="CQ763" s="584" t="s">
        <v>3737</v>
      </c>
      <c r="CR763" s="584" t="s">
        <v>3737</v>
      </c>
      <c r="CS763" s="584" t="s">
        <v>1890</v>
      </c>
      <c r="CT763" s="584" t="s">
        <v>3163</v>
      </c>
      <c r="CU763" s="584" t="s">
        <v>1892</v>
      </c>
      <c r="CV763" s="585" t="s">
        <v>1893</v>
      </c>
    </row>
    <row r="764" spans="91:100" x14ac:dyDescent="0.25">
      <c r="CM764" s="582"/>
      <c r="CN764" s="584" t="s">
        <v>3738</v>
      </c>
      <c r="CO764" s="584" t="s">
        <v>1910</v>
      </c>
      <c r="CP764" s="584" t="s">
        <v>1888</v>
      </c>
      <c r="CQ764" s="584" t="s">
        <v>3739</v>
      </c>
      <c r="CR764" s="584" t="s">
        <v>3740</v>
      </c>
      <c r="CS764" s="584" t="s">
        <v>1890</v>
      </c>
      <c r="CT764" s="584" t="s">
        <v>3163</v>
      </c>
      <c r="CU764" s="584" t="s">
        <v>1892</v>
      </c>
      <c r="CV764" s="585" t="s">
        <v>1893</v>
      </c>
    </row>
    <row r="765" spans="91:100" x14ac:dyDescent="0.25">
      <c r="CM765" s="582"/>
      <c r="CN765" s="584" t="s">
        <v>3741</v>
      </c>
      <c r="CO765" s="584" t="s">
        <v>1910</v>
      </c>
      <c r="CP765" s="584" t="s">
        <v>1888</v>
      </c>
      <c r="CQ765" s="584" t="s">
        <v>3742</v>
      </c>
      <c r="CR765" s="584" t="s">
        <v>3743</v>
      </c>
      <c r="CS765" s="584" t="s">
        <v>1890</v>
      </c>
      <c r="CT765" s="584" t="s">
        <v>3163</v>
      </c>
      <c r="CU765" s="584" t="s">
        <v>1892</v>
      </c>
      <c r="CV765" s="585" t="s">
        <v>1893</v>
      </c>
    </row>
    <row r="766" spans="91:100" ht="25.5" x14ac:dyDescent="0.25">
      <c r="CM766" s="582"/>
      <c r="CN766" s="584" t="s">
        <v>3744</v>
      </c>
      <c r="CO766" s="584" t="s">
        <v>1910</v>
      </c>
      <c r="CP766" s="584" t="s">
        <v>1888</v>
      </c>
      <c r="CQ766" s="584" t="s">
        <v>3745</v>
      </c>
      <c r="CR766" s="584" t="s">
        <v>3745</v>
      </c>
      <c r="CS766" s="584" t="s">
        <v>2583</v>
      </c>
      <c r="CT766" s="584" t="s">
        <v>2584</v>
      </c>
      <c r="CU766" s="584" t="s">
        <v>3080</v>
      </c>
      <c r="CV766" s="585" t="s">
        <v>3081</v>
      </c>
    </row>
    <row r="767" spans="91:100" ht="25.5" x14ac:dyDescent="0.25">
      <c r="CM767" s="582"/>
      <c r="CN767" s="584" t="s">
        <v>3746</v>
      </c>
      <c r="CO767" s="584" t="s">
        <v>1910</v>
      </c>
      <c r="CP767" s="584" t="s">
        <v>1888</v>
      </c>
      <c r="CQ767" s="584" t="s">
        <v>3747</v>
      </c>
      <c r="CR767" s="584" t="s">
        <v>3747</v>
      </c>
      <c r="CS767" s="584" t="s">
        <v>2583</v>
      </c>
      <c r="CT767" s="584" t="s">
        <v>2584</v>
      </c>
      <c r="CU767" s="584" t="s">
        <v>3080</v>
      </c>
      <c r="CV767" s="585" t="s">
        <v>3081</v>
      </c>
    </row>
    <row r="768" spans="91:100" ht="25.5" x14ac:dyDescent="0.25">
      <c r="CM768" s="582"/>
      <c r="CN768" s="584" t="s">
        <v>3748</v>
      </c>
      <c r="CO768" s="584" t="s">
        <v>1910</v>
      </c>
      <c r="CP768" s="584" t="s">
        <v>1888</v>
      </c>
      <c r="CQ768" s="584" t="s">
        <v>3749</v>
      </c>
      <c r="CR768" s="584" t="s">
        <v>3749</v>
      </c>
      <c r="CS768" s="584" t="s">
        <v>2583</v>
      </c>
      <c r="CT768" s="584" t="s">
        <v>2584</v>
      </c>
      <c r="CU768" s="584" t="s">
        <v>3080</v>
      </c>
      <c r="CV768" s="585" t="s">
        <v>3081</v>
      </c>
    </row>
    <row r="769" spans="91:100" ht="25.5" x14ac:dyDescent="0.25">
      <c r="CM769" s="582"/>
      <c r="CN769" s="584" t="s">
        <v>3750</v>
      </c>
      <c r="CO769" s="584" t="s">
        <v>1910</v>
      </c>
      <c r="CP769" s="584" t="s">
        <v>1888</v>
      </c>
      <c r="CQ769" s="584" t="s">
        <v>3751</v>
      </c>
      <c r="CR769" s="584" t="s">
        <v>3751</v>
      </c>
      <c r="CS769" s="584" t="s">
        <v>2583</v>
      </c>
      <c r="CT769" s="584" t="s">
        <v>2584</v>
      </c>
      <c r="CU769" s="584" t="s">
        <v>3080</v>
      </c>
      <c r="CV769" s="585" t="s">
        <v>3081</v>
      </c>
    </row>
    <row r="770" spans="91:100" ht="25.5" x14ac:dyDescent="0.25">
      <c r="CM770" s="582"/>
      <c r="CN770" s="584" t="s">
        <v>3752</v>
      </c>
      <c r="CO770" s="584" t="s">
        <v>1910</v>
      </c>
      <c r="CP770" s="584" t="s">
        <v>1888</v>
      </c>
      <c r="CQ770" s="584" t="s">
        <v>3753</v>
      </c>
      <c r="CR770" s="584" t="s">
        <v>3753</v>
      </c>
      <c r="CS770" s="584" t="s">
        <v>2583</v>
      </c>
      <c r="CT770" s="584" t="s">
        <v>2584</v>
      </c>
      <c r="CU770" s="584" t="s">
        <v>3080</v>
      </c>
      <c r="CV770" s="585" t="s">
        <v>3081</v>
      </c>
    </row>
    <row r="771" spans="91:100" ht="25.5" x14ac:dyDescent="0.25">
      <c r="CM771" s="582"/>
      <c r="CN771" s="584" t="s">
        <v>3754</v>
      </c>
      <c r="CO771" s="584" t="s">
        <v>1910</v>
      </c>
      <c r="CP771" s="584" t="s">
        <v>1888</v>
      </c>
      <c r="CQ771" s="584" t="s">
        <v>3755</v>
      </c>
      <c r="CR771" s="584" t="s">
        <v>3755</v>
      </c>
      <c r="CS771" s="584" t="s">
        <v>2583</v>
      </c>
      <c r="CT771" s="584" t="s">
        <v>2584</v>
      </c>
      <c r="CU771" s="584" t="s">
        <v>3080</v>
      </c>
      <c r="CV771" s="585" t="s">
        <v>3081</v>
      </c>
    </row>
    <row r="772" spans="91:100" ht="25.5" x14ac:dyDescent="0.25">
      <c r="CM772" s="582"/>
      <c r="CN772" s="584" t="s">
        <v>3756</v>
      </c>
      <c r="CO772" s="584" t="s">
        <v>1910</v>
      </c>
      <c r="CP772" s="584" t="s">
        <v>1888</v>
      </c>
      <c r="CQ772" s="584" t="s">
        <v>3757</v>
      </c>
      <c r="CR772" s="584" t="s">
        <v>3757</v>
      </c>
      <c r="CS772" s="584" t="s">
        <v>2583</v>
      </c>
      <c r="CT772" s="584" t="s">
        <v>2584</v>
      </c>
      <c r="CU772" s="584" t="s">
        <v>3080</v>
      </c>
      <c r="CV772" s="585" t="s">
        <v>3081</v>
      </c>
    </row>
    <row r="773" spans="91:100" ht="25.5" x14ac:dyDescent="0.25">
      <c r="CM773" s="582"/>
      <c r="CN773" s="584" t="s">
        <v>3758</v>
      </c>
      <c r="CO773" s="584" t="s">
        <v>1910</v>
      </c>
      <c r="CP773" s="584" t="s">
        <v>1888</v>
      </c>
      <c r="CQ773" s="584" t="s">
        <v>3759</v>
      </c>
      <c r="CR773" s="584" t="s">
        <v>3759</v>
      </c>
      <c r="CS773" s="584" t="s">
        <v>2583</v>
      </c>
      <c r="CT773" s="584" t="s">
        <v>2584</v>
      </c>
      <c r="CU773" s="584" t="s">
        <v>3080</v>
      </c>
      <c r="CV773" s="585" t="s">
        <v>3081</v>
      </c>
    </row>
    <row r="774" spans="91:100" ht="25.5" x14ac:dyDescent="0.25">
      <c r="CM774" s="582"/>
      <c r="CN774" s="584" t="s">
        <v>3760</v>
      </c>
      <c r="CO774" s="584" t="s">
        <v>1910</v>
      </c>
      <c r="CP774" s="584" t="s">
        <v>1888</v>
      </c>
      <c r="CQ774" s="584" t="s">
        <v>3761</v>
      </c>
      <c r="CR774" s="584" t="s">
        <v>3761</v>
      </c>
      <c r="CS774" s="584" t="s">
        <v>2583</v>
      </c>
      <c r="CT774" s="584" t="s">
        <v>2584</v>
      </c>
      <c r="CU774" s="584" t="s">
        <v>3080</v>
      </c>
      <c r="CV774" s="585" t="s">
        <v>3081</v>
      </c>
    </row>
    <row r="775" spans="91:100" ht="25.5" x14ac:dyDescent="0.25">
      <c r="CM775" s="582"/>
      <c r="CN775" s="584" t="s">
        <v>3762</v>
      </c>
      <c r="CO775" s="584" t="s">
        <v>1910</v>
      </c>
      <c r="CP775" s="584" t="s">
        <v>1888</v>
      </c>
      <c r="CQ775" s="584" t="s">
        <v>3763</v>
      </c>
      <c r="CR775" s="584" t="s">
        <v>3763</v>
      </c>
      <c r="CS775" s="584" t="s">
        <v>2583</v>
      </c>
      <c r="CT775" s="584" t="s">
        <v>2584</v>
      </c>
      <c r="CU775" s="584" t="s">
        <v>3080</v>
      </c>
      <c r="CV775" s="585" t="s">
        <v>3081</v>
      </c>
    </row>
    <row r="776" spans="91:100" ht="25.5" x14ac:dyDescent="0.25">
      <c r="CM776" s="582"/>
      <c r="CN776" s="584" t="s">
        <v>3764</v>
      </c>
      <c r="CO776" s="584" t="s">
        <v>1910</v>
      </c>
      <c r="CP776" s="584" t="s">
        <v>1888</v>
      </c>
      <c r="CQ776" s="584" t="s">
        <v>3765</v>
      </c>
      <c r="CR776" s="584" t="s">
        <v>3765</v>
      </c>
      <c r="CS776" s="584" t="s">
        <v>2583</v>
      </c>
      <c r="CT776" s="584" t="s">
        <v>2584</v>
      </c>
      <c r="CU776" s="584" t="s">
        <v>3080</v>
      </c>
      <c r="CV776" s="585" t="s">
        <v>3081</v>
      </c>
    </row>
    <row r="777" spans="91:100" ht="25.5" x14ac:dyDescent="0.25">
      <c r="CM777" s="582"/>
      <c r="CN777" s="584" t="s">
        <v>3766</v>
      </c>
      <c r="CO777" s="584" t="s">
        <v>1910</v>
      </c>
      <c r="CP777" s="584" t="s">
        <v>1888</v>
      </c>
      <c r="CQ777" s="584" t="s">
        <v>3767</v>
      </c>
      <c r="CR777" s="584" t="s">
        <v>3767</v>
      </c>
      <c r="CS777" s="584" t="s">
        <v>2583</v>
      </c>
      <c r="CT777" s="584" t="s">
        <v>2584</v>
      </c>
      <c r="CU777" s="584" t="s">
        <v>3080</v>
      </c>
      <c r="CV777" s="585" t="s">
        <v>3081</v>
      </c>
    </row>
    <row r="778" spans="91:100" ht="25.5" x14ac:dyDescent="0.25">
      <c r="CM778" s="582"/>
      <c r="CN778" s="584" t="s">
        <v>3768</v>
      </c>
      <c r="CO778" s="584" t="s">
        <v>1910</v>
      </c>
      <c r="CP778" s="584" t="s">
        <v>1888</v>
      </c>
      <c r="CQ778" s="584" t="s">
        <v>3769</v>
      </c>
      <c r="CR778" s="584" t="s">
        <v>3769</v>
      </c>
      <c r="CS778" s="584" t="s">
        <v>2583</v>
      </c>
      <c r="CT778" s="584" t="s">
        <v>2584</v>
      </c>
      <c r="CU778" s="584" t="s">
        <v>3080</v>
      </c>
      <c r="CV778" s="585" t="s">
        <v>3081</v>
      </c>
    </row>
    <row r="779" spans="91:100" ht="25.5" x14ac:dyDescent="0.25">
      <c r="CM779" s="582"/>
      <c r="CN779" s="584" t="s">
        <v>3770</v>
      </c>
      <c r="CO779" s="584" t="s">
        <v>1910</v>
      </c>
      <c r="CP779" s="584" t="s">
        <v>1888</v>
      </c>
      <c r="CQ779" s="584" t="s">
        <v>3771</v>
      </c>
      <c r="CR779" s="584" t="s">
        <v>3771</v>
      </c>
      <c r="CS779" s="584" t="s">
        <v>2583</v>
      </c>
      <c r="CT779" s="584" t="s">
        <v>2584</v>
      </c>
      <c r="CU779" s="584" t="s">
        <v>3080</v>
      </c>
      <c r="CV779" s="585" t="s">
        <v>3081</v>
      </c>
    </row>
    <row r="780" spans="91:100" ht="25.5" x14ac:dyDescent="0.25">
      <c r="CM780" s="582"/>
      <c r="CN780" s="584" t="s">
        <v>3772</v>
      </c>
      <c r="CO780" s="584" t="s">
        <v>1910</v>
      </c>
      <c r="CP780" s="584" t="s">
        <v>1888</v>
      </c>
      <c r="CQ780" s="584" t="s">
        <v>3773</v>
      </c>
      <c r="CR780" s="584" t="s">
        <v>3773</v>
      </c>
      <c r="CS780" s="584" t="s">
        <v>2583</v>
      </c>
      <c r="CT780" s="584" t="s">
        <v>2584</v>
      </c>
      <c r="CU780" s="584" t="s">
        <v>3080</v>
      </c>
      <c r="CV780" s="585" t="s">
        <v>3081</v>
      </c>
    </row>
    <row r="781" spans="91:100" ht="25.5" x14ac:dyDescent="0.25">
      <c r="CM781" s="582"/>
      <c r="CN781" s="584" t="s">
        <v>3774</v>
      </c>
      <c r="CO781" s="584" t="s">
        <v>1910</v>
      </c>
      <c r="CP781" s="584" t="s">
        <v>1888</v>
      </c>
      <c r="CQ781" s="584" t="s">
        <v>3775</v>
      </c>
      <c r="CR781" s="584" t="s">
        <v>3775</v>
      </c>
      <c r="CS781" s="584" t="s">
        <v>2583</v>
      </c>
      <c r="CT781" s="584" t="s">
        <v>2584</v>
      </c>
      <c r="CU781" s="584" t="s">
        <v>3080</v>
      </c>
      <c r="CV781" s="585" t="s">
        <v>3081</v>
      </c>
    </row>
    <row r="782" spans="91:100" ht="25.5" x14ac:dyDescent="0.25">
      <c r="CM782" s="582"/>
      <c r="CN782" s="584" t="s">
        <v>3776</v>
      </c>
      <c r="CO782" s="584" t="s">
        <v>1910</v>
      </c>
      <c r="CP782" s="584" t="s">
        <v>1888</v>
      </c>
      <c r="CQ782" s="584" t="s">
        <v>3777</v>
      </c>
      <c r="CR782" s="584" t="s">
        <v>3777</v>
      </c>
      <c r="CS782" s="584" t="s">
        <v>2583</v>
      </c>
      <c r="CT782" s="584" t="s">
        <v>2584</v>
      </c>
      <c r="CU782" s="584" t="s">
        <v>3080</v>
      </c>
      <c r="CV782" s="585" t="s">
        <v>3081</v>
      </c>
    </row>
    <row r="783" spans="91:100" ht="25.5" x14ac:dyDescent="0.25">
      <c r="CM783" s="582"/>
      <c r="CN783" s="584" t="s">
        <v>3778</v>
      </c>
      <c r="CO783" s="584" t="s">
        <v>1910</v>
      </c>
      <c r="CP783" s="584" t="s">
        <v>1888</v>
      </c>
      <c r="CQ783" s="584" t="s">
        <v>3779</v>
      </c>
      <c r="CR783" s="584" t="s">
        <v>3779</v>
      </c>
      <c r="CS783" s="584" t="s">
        <v>2583</v>
      </c>
      <c r="CT783" s="584" t="s">
        <v>2584</v>
      </c>
      <c r="CU783" s="584" t="s">
        <v>3080</v>
      </c>
      <c r="CV783" s="585" t="s">
        <v>3081</v>
      </c>
    </row>
    <row r="784" spans="91:100" ht="25.5" x14ac:dyDescent="0.25">
      <c r="CM784" s="582"/>
      <c r="CN784" s="584" t="s">
        <v>3780</v>
      </c>
      <c r="CO784" s="584" t="s">
        <v>1910</v>
      </c>
      <c r="CP784" s="584" t="s">
        <v>1888</v>
      </c>
      <c r="CQ784" s="584" t="s">
        <v>3781</v>
      </c>
      <c r="CR784" s="584" t="s">
        <v>3781</v>
      </c>
      <c r="CS784" s="584" t="s">
        <v>2583</v>
      </c>
      <c r="CT784" s="584" t="s">
        <v>2584</v>
      </c>
      <c r="CU784" s="584" t="s">
        <v>3080</v>
      </c>
      <c r="CV784" s="585" t="s">
        <v>3081</v>
      </c>
    </row>
    <row r="785" spans="91:100" ht="25.5" x14ac:dyDescent="0.25">
      <c r="CM785" s="582"/>
      <c r="CN785" s="584" t="s">
        <v>3782</v>
      </c>
      <c r="CO785" s="584" t="s">
        <v>1910</v>
      </c>
      <c r="CP785" s="584" t="s">
        <v>1888</v>
      </c>
      <c r="CQ785" s="584" t="s">
        <v>3783</v>
      </c>
      <c r="CR785" s="584" t="s">
        <v>3783</v>
      </c>
      <c r="CS785" s="584" t="s">
        <v>2583</v>
      </c>
      <c r="CT785" s="584" t="s">
        <v>2584</v>
      </c>
      <c r="CU785" s="584" t="s">
        <v>3080</v>
      </c>
      <c r="CV785" s="585" t="s">
        <v>3081</v>
      </c>
    </row>
    <row r="786" spans="91:100" ht="25.5" x14ac:dyDescent="0.25">
      <c r="CM786" s="582"/>
      <c r="CN786" s="584" t="s">
        <v>3784</v>
      </c>
      <c r="CO786" s="584" t="s">
        <v>1910</v>
      </c>
      <c r="CP786" s="584" t="s">
        <v>1888</v>
      </c>
      <c r="CQ786" s="584" t="s">
        <v>3785</v>
      </c>
      <c r="CR786" s="584" t="s">
        <v>3785</v>
      </c>
      <c r="CS786" s="584" t="s">
        <v>2583</v>
      </c>
      <c r="CT786" s="584" t="s">
        <v>2584</v>
      </c>
      <c r="CU786" s="584" t="s">
        <v>3080</v>
      </c>
      <c r="CV786" s="585" t="s">
        <v>3081</v>
      </c>
    </row>
    <row r="787" spans="91:100" ht="25.5" x14ac:dyDescent="0.25">
      <c r="CM787" s="582"/>
      <c r="CN787" s="584" t="s">
        <v>3786</v>
      </c>
      <c r="CO787" s="584" t="s">
        <v>1910</v>
      </c>
      <c r="CP787" s="584" t="s">
        <v>1888</v>
      </c>
      <c r="CQ787" s="584" t="s">
        <v>3787</v>
      </c>
      <c r="CR787" s="584" t="s">
        <v>3787</v>
      </c>
      <c r="CS787" s="584" t="s">
        <v>2583</v>
      </c>
      <c r="CT787" s="584" t="s">
        <v>2584</v>
      </c>
      <c r="CU787" s="584" t="s">
        <v>3080</v>
      </c>
      <c r="CV787" s="585" t="s">
        <v>3081</v>
      </c>
    </row>
    <row r="788" spans="91:100" ht="25.5" x14ac:dyDescent="0.25">
      <c r="CM788" s="582"/>
      <c r="CN788" s="584" t="s">
        <v>3788</v>
      </c>
      <c r="CO788" s="584" t="s">
        <v>1910</v>
      </c>
      <c r="CP788" s="584" t="s">
        <v>1888</v>
      </c>
      <c r="CQ788" s="584" t="s">
        <v>3789</v>
      </c>
      <c r="CR788" s="584" t="s">
        <v>3789</v>
      </c>
      <c r="CS788" s="584" t="s">
        <v>2583</v>
      </c>
      <c r="CT788" s="584" t="s">
        <v>2584</v>
      </c>
      <c r="CU788" s="584" t="s">
        <v>3080</v>
      </c>
      <c r="CV788" s="585" t="s">
        <v>3081</v>
      </c>
    </row>
    <row r="789" spans="91:100" ht="25.5" x14ac:dyDescent="0.25">
      <c r="CM789" s="582"/>
      <c r="CN789" s="584" t="s">
        <v>3790</v>
      </c>
      <c r="CO789" s="584" t="s">
        <v>1910</v>
      </c>
      <c r="CP789" s="584" t="s">
        <v>1888</v>
      </c>
      <c r="CQ789" s="584" t="s">
        <v>3791</v>
      </c>
      <c r="CR789" s="584" t="s">
        <v>3791</v>
      </c>
      <c r="CS789" s="584" t="s">
        <v>2583</v>
      </c>
      <c r="CT789" s="584" t="s">
        <v>2584</v>
      </c>
      <c r="CU789" s="584" t="s">
        <v>3080</v>
      </c>
      <c r="CV789" s="585" t="s">
        <v>3081</v>
      </c>
    </row>
    <row r="790" spans="91:100" ht="25.5" x14ac:dyDescent="0.25">
      <c r="CM790" s="582"/>
      <c r="CN790" s="584" t="s">
        <v>3792</v>
      </c>
      <c r="CO790" s="584" t="s">
        <v>1910</v>
      </c>
      <c r="CP790" s="584" t="s">
        <v>1888</v>
      </c>
      <c r="CQ790" s="584" t="s">
        <v>3793</v>
      </c>
      <c r="CR790" s="584" t="s">
        <v>3793</v>
      </c>
      <c r="CS790" s="584" t="s">
        <v>2583</v>
      </c>
      <c r="CT790" s="584" t="s">
        <v>2584</v>
      </c>
      <c r="CU790" s="584" t="s">
        <v>3080</v>
      </c>
      <c r="CV790" s="585" t="s">
        <v>3081</v>
      </c>
    </row>
    <row r="791" spans="91:100" ht="25.5" x14ac:dyDescent="0.25">
      <c r="CM791" s="582"/>
      <c r="CN791" s="584" t="s">
        <v>3794</v>
      </c>
      <c r="CO791" s="584" t="s">
        <v>1910</v>
      </c>
      <c r="CP791" s="584" t="s">
        <v>1888</v>
      </c>
      <c r="CQ791" s="584" t="s">
        <v>3795</v>
      </c>
      <c r="CR791" s="584" t="s">
        <v>3795</v>
      </c>
      <c r="CS791" s="584" t="s">
        <v>2583</v>
      </c>
      <c r="CT791" s="584" t="s">
        <v>2584</v>
      </c>
      <c r="CU791" s="584" t="s">
        <v>3080</v>
      </c>
      <c r="CV791" s="585" t="s">
        <v>3081</v>
      </c>
    </row>
    <row r="792" spans="91:100" ht="25.5" x14ac:dyDescent="0.25">
      <c r="CM792" s="582"/>
      <c r="CN792" s="584" t="s">
        <v>3796</v>
      </c>
      <c r="CO792" s="584" t="s">
        <v>1910</v>
      </c>
      <c r="CP792" s="584" t="s">
        <v>1888</v>
      </c>
      <c r="CQ792" s="584" t="s">
        <v>3797</v>
      </c>
      <c r="CR792" s="584" t="s">
        <v>3797</v>
      </c>
      <c r="CS792" s="584" t="s">
        <v>2583</v>
      </c>
      <c r="CT792" s="584" t="s">
        <v>2584</v>
      </c>
      <c r="CU792" s="584" t="s">
        <v>3080</v>
      </c>
      <c r="CV792" s="585" t="s">
        <v>3081</v>
      </c>
    </row>
    <row r="793" spans="91:100" ht="25.5" x14ac:dyDescent="0.25">
      <c r="CM793" s="582"/>
      <c r="CN793" s="584" t="s">
        <v>3798</v>
      </c>
      <c r="CO793" s="584" t="s">
        <v>1910</v>
      </c>
      <c r="CP793" s="584" t="s">
        <v>1888</v>
      </c>
      <c r="CQ793" s="584" t="s">
        <v>3799</v>
      </c>
      <c r="CR793" s="584" t="s">
        <v>3799</v>
      </c>
      <c r="CS793" s="584" t="s">
        <v>2583</v>
      </c>
      <c r="CT793" s="584" t="s">
        <v>2584</v>
      </c>
      <c r="CU793" s="584" t="s">
        <v>3080</v>
      </c>
      <c r="CV793" s="585" t="s">
        <v>3081</v>
      </c>
    </row>
    <row r="794" spans="91:100" ht="25.5" x14ac:dyDescent="0.25">
      <c r="CM794" s="582"/>
      <c r="CN794" s="584" t="s">
        <v>3800</v>
      </c>
      <c r="CO794" s="584" t="s">
        <v>1910</v>
      </c>
      <c r="CP794" s="584" t="s">
        <v>1888</v>
      </c>
      <c r="CQ794" s="584" t="s">
        <v>3801</v>
      </c>
      <c r="CR794" s="584" t="s">
        <v>3801</v>
      </c>
      <c r="CS794" s="584" t="s">
        <v>2583</v>
      </c>
      <c r="CT794" s="584" t="s">
        <v>2584</v>
      </c>
      <c r="CU794" s="584" t="s">
        <v>3080</v>
      </c>
      <c r="CV794" s="585" t="s">
        <v>3081</v>
      </c>
    </row>
    <row r="795" spans="91:100" ht="25.5" x14ac:dyDescent="0.25">
      <c r="CM795" s="582"/>
      <c r="CN795" s="584" t="s">
        <v>3802</v>
      </c>
      <c r="CO795" s="584" t="s">
        <v>1910</v>
      </c>
      <c r="CP795" s="584" t="s">
        <v>1888</v>
      </c>
      <c r="CQ795" s="584" t="s">
        <v>3803</v>
      </c>
      <c r="CR795" s="584" t="s">
        <v>3803</v>
      </c>
      <c r="CS795" s="584" t="s">
        <v>2583</v>
      </c>
      <c r="CT795" s="584" t="s">
        <v>2584</v>
      </c>
      <c r="CU795" s="584" t="s">
        <v>3080</v>
      </c>
      <c r="CV795" s="585" t="s">
        <v>3081</v>
      </c>
    </row>
    <row r="796" spans="91:100" ht="25.5" x14ac:dyDescent="0.25">
      <c r="CM796" s="582"/>
      <c r="CN796" s="584" t="s">
        <v>3804</v>
      </c>
      <c r="CO796" s="584" t="s">
        <v>1910</v>
      </c>
      <c r="CP796" s="584" t="s">
        <v>1888</v>
      </c>
      <c r="CQ796" s="584" t="s">
        <v>3805</v>
      </c>
      <c r="CR796" s="584" t="s">
        <v>3805</v>
      </c>
      <c r="CS796" s="584" t="s">
        <v>2583</v>
      </c>
      <c r="CT796" s="584" t="s">
        <v>2584</v>
      </c>
      <c r="CU796" s="584" t="s">
        <v>3080</v>
      </c>
      <c r="CV796" s="585" t="s">
        <v>3081</v>
      </c>
    </row>
    <row r="797" spans="91:100" ht="25.5" x14ac:dyDescent="0.25">
      <c r="CM797" s="582"/>
      <c r="CN797" s="584" t="s">
        <v>3806</v>
      </c>
      <c r="CO797" s="584" t="s">
        <v>1910</v>
      </c>
      <c r="CP797" s="584" t="s">
        <v>1888</v>
      </c>
      <c r="CQ797" s="584" t="s">
        <v>3807</v>
      </c>
      <c r="CR797" s="584" t="s">
        <v>3807</v>
      </c>
      <c r="CS797" s="584" t="s">
        <v>2583</v>
      </c>
      <c r="CT797" s="584" t="s">
        <v>2584</v>
      </c>
      <c r="CU797" s="584" t="s">
        <v>3080</v>
      </c>
      <c r="CV797" s="585" t="s">
        <v>3081</v>
      </c>
    </row>
    <row r="798" spans="91:100" ht="25.5" x14ac:dyDescent="0.25">
      <c r="CM798" s="582"/>
      <c r="CN798" s="584" t="s">
        <v>3808</v>
      </c>
      <c r="CO798" s="584" t="s">
        <v>1910</v>
      </c>
      <c r="CP798" s="584" t="s">
        <v>1888</v>
      </c>
      <c r="CQ798" s="584" t="s">
        <v>3809</v>
      </c>
      <c r="CR798" s="584" t="s">
        <v>3809</v>
      </c>
      <c r="CS798" s="584" t="s">
        <v>2583</v>
      </c>
      <c r="CT798" s="584" t="s">
        <v>2584</v>
      </c>
      <c r="CU798" s="584" t="s">
        <v>3080</v>
      </c>
      <c r="CV798" s="585" t="s">
        <v>3081</v>
      </c>
    </row>
    <row r="799" spans="91:100" ht="25.5" x14ac:dyDescent="0.25">
      <c r="CM799" s="582"/>
      <c r="CN799" s="584" t="s">
        <v>3810</v>
      </c>
      <c r="CO799" s="584" t="s">
        <v>1910</v>
      </c>
      <c r="CP799" s="584" t="s">
        <v>1888</v>
      </c>
      <c r="CQ799" s="584" t="s">
        <v>3811</v>
      </c>
      <c r="CR799" s="584" t="s">
        <v>3811</v>
      </c>
      <c r="CS799" s="584" t="s">
        <v>2583</v>
      </c>
      <c r="CT799" s="584" t="s">
        <v>2584</v>
      </c>
      <c r="CU799" s="584" t="s">
        <v>3080</v>
      </c>
      <c r="CV799" s="585" t="s">
        <v>3081</v>
      </c>
    </row>
    <row r="800" spans="91:100" ht="25.5" x14ac:dyDescent="0.25">
      <c r="CM800" s="582"/>
      <c r="CN800" s="584" t="s">
        <v>3812</v>
      </c>
      <c r="CO800" s="584" t="s">
        <v>1910</v>
      </c>
      <c r="CP800" s="584" t="s">
        <v>1888</v>
      </c>
      <c r="CQ800" s="584" t="s">
        <v>3813</v>
      </c>
      <c r="CR800" s="584" t="s">
        <v>3813</v>
      </c>
      <c r="CS800" s="584" t="s">
        <v>2583</v>
      </c>
      <c r="CT800" s="584" t="s">
        <v>2584</v>
      </c>
      <c r="CU800" s="584" t="s">
        <v>3080</v>
      </c>
      <c r="CV800" s="585" t="s">
        <v>3081</v>
      </c>
    </row>
    <row r="801" spans="91:100" ht="25.5" x14ac:dyDescent="0.25">
      <c r="CM801" s="582"/>
      <c r="CN801" s="584" t="s">
        <v>3814</v>
      </c>
      <c r="CO801" s="584" t="s">
        <v>1910</v>
      </c>
      <c r="CP801" s="584" t="s">
        <v>1888</v>
      </c>
      <c r="CQ801" s="584" t="s">
        <v>3815</v>
      </c>
      <c r="CR801" s="584" t="s">
        <v>3815</v>
      </c>
      <c r="CS801" s="584" t="s">
        <v>2583</v>
      </c>
      <c r="CT801" s="584" t="s">
        <v>2584</v>
      </c>
      <c r="CU801" s="584" t="s">
        <v>3080</v>
      </c>
      <c r="CV801" s="585" t="s">
        <v>3081</v>
      </c>
    </row>
    <row r="802" spans="91:100" ht="25.5" x14ac:dyDescent="0.25">
      <c r="CM802" s="582"/>
      <c r="CN802" s="584" t="s">
        <v>3816</v>
      </c>
      <c r="CO802" s="584" t="s">
        <v>1910</v>
      </c>
      <c r="CP802" s="584" t="s">
        <v>1888</v>
      </c>
      <c r="CQ802" s="584" t="s">
        <v>3817</v>
      </c>
      <c r="CR802" s="584" t="s">
        <v>3817</v>
      </c>
      <c r="CS802" s="584" t="s">
        <v>2583</v>
      </c>
      <c r="CT802" s="584" t="s">
        <v>2584</v>
      </c>
      <c r="CU802" s="584" t="s">
        <v>3080</v>
      </c>
      <c r="CV802" s="585" t="s">
        <v>3081</v>
      </c>
    </row>
    <row r="803" spans="91:100" ht="25.5" x14ac:dyDescent="0.25">
      <c r="CM803" s="582"/>
      <c r="CN803" s="584" t="s">
        <v>3818</v>
      </c>
      <c r="CO803" s="584" t="s">
        <v>1910</v>
      </c>
      <c r="CP803" s="584" t="s">
        <v>1888</v>
      </c>
      <c r="CQ803" s="584" t="s">
        <v>3819</v>
      </c>
      <c r="CR803" s="584" t="s">
        <v>3819</v>
      </c>
      <c r="CS803" s="584" t="s">
        <v>2583</v>
      </c>
      <c r="CT803" s="584" t="s">
        <v>2584</v>
      </c>
      <c r="CU803" s="584" t="s">
        <v>3080</v>
      </c>
      <c r="CV803" s="585" t="s">
        <v>3081</v>
      </c>
    </row>
    <row r="804" spans="91:100" ht="25.5" x14ac:dyDescent="0.25">
      <c r="CM804" s="582"/>
      <c r="CN804" s="584" t="s">
        <v>3820</v>
      </c>
      <c r="CO804" s="584" t="s">
        <v>1910</v>
      </c>
      <c r="CP804" s="584" t="s">
        <v>1888</v>
      </c>
      <c r="CQ804" s="584" t="s">
        <v>3821</v>
      </c>
      <c r="CR804" s="584" t="s">
        <v>3821</v>
      </c>
      <c r="CS804" s="584" t="s">
        <v>2583</v>
      </c>
      <c r="CT804" s="584" t="s">
        <v>2584</v>
      </c>
      <c r="CU804" s="584" t="s">
        <v>3080</v>
      </c>
      <c r="CV804" s="585" t="s">
        <v>3081</v>
      </c>
    </row>
    <row r="805" spans="91:100" ht="25.5" x14ac:dyDescent="0.25">
      <c r="CM805" s="582"/>
      <c r="CN805" s="584" t="s">
        <v>3822</v>
      </c>
      <c r="CO805" s="584" t="s">
        <v>1910</v>
      </c>
      <c r="CP805" s="584" t="s">
        <v>1888</v>
      </c>
      <c r="CQ805" s="584" t="s">
        <v>3823</v>
      </c>
      <c r="CR805" s="584" t="s">
        <v>3823</v>
      </c>
      <c r="CS805" s="584" t="s">
        <v>2583</v>
      </c>
      <c r="CT805" s="584" t="s">
        <v>2584</v>
      </c>
      <c r="CU805" s="584" t="s">
        <v>3080</v>
      </c>
      <c r="CV805" s="585" t="s">
        <v>3081</v>
      </c>
    </row>
    <row r="806" spans="91:100" x14ac:dyDescent="0.25">
      <c r="CM806" s="582"/>
      <c r="CN806" s="584" t="s">
        <v>3824</v>
      </c>
      <c r="CO806" s="584" t="s">
        <v>1910</v>
      </c>
      <c r="CP806" s="584" t="s">
        <v>1888</v>
      </c>
      <c r="CQ806" s="584" t="s">
        <v>3825</v>
      </c>
      <c r="CR806" s="584" t="s">
        <v>3825</v>
      </c>
      <c r="CS806" s="584" t="s">
        <v>1978</v>
      </c>
      <c r="CT806" s="584" t="s">
        <v>1979</v>
      </c>
      <c r="CU806" s="584" t="s">
        <v>1892</v>
      </c>
      <c r="CV806" s="585" t="s">
        <v>1980</v>
      </c>
    </row>
    <row r="807" spans="91:100" x14ac:dyDescent="0.25">
      <c r="CM807" s="582"/>
      <c r="CN807" s="584" t="s">
        <v>3826</v>
      </c>
      <c r="CO807" s="584" t="s">
        <v>1910</v>
      </c>
      <c r="CP807" s="584" t="s">
        <v>1888</v>
      </c>
      <c r="CQ807" s="584" t="s">
        <v>3827</v>
      </c>
      <c r="CR807" s="584" t="s">
        <v>3827</v>
      </c>
      <c r="CS807" s="584" t="s">
        <v>1978</v>
      </c>
      <c r="CT807" s="584" t="s">
        <v>1979</v>
      </c>
      <c r="CU807" s="584" t="s">
        <v>1892</v>
      </c>
      <c r="CV807" s="585" t="s">
        <v>1980</v>
      </c>
    </row>
    <row r="808" spans="91:100" ht="25.5" x14ac:dyDescent="0.25">
      <c r="CM808" s="582"/>
      <c r="CN808" s="584" t="s">
        <v>3828</v>
      </c>
      <c r="CO808" s="584" t="s">
        <v>1910</v>
      </c>
      <c r="CP808" s="584" t="s">
        <v>1888</v>
      </c>
      <c r="CQ808" s="584" t="s">
        <v>3829</v>
      </c>
      <c r="CR808" s="584" t="s">
        <v>3829</v>
      </c>
      <c r="CS808" s="584" t="s">
        <v>2583</v>
      </c>
      <c r="CT808" s="584" t="s">
        <v>2584</v>
      </c>
      <c r="CU808" s="584" t="s">
        <v>3080</v>
      </c>
      <c r="CV808" s="585" t="s">
        <v>3081</v>
      </c>
    </row>
    <row r="809" spans="91:100" ht="25.5" x14ac:dyDescent="0.25">
      <c r="CM809" s="582"/>
      <c r="CN809" s="584" t="s">
        <v>3830</v>
      </c>
      <c r="CO809" s="584" t="s">
        <v>1910</v>
      </c>
      <c r="CP809" s="584" t="s">
        <v>1888</v>
      </c>
      <c r="CQ809" s="584" t="s">
        <v>3831</v>
      </c>
      <c r="CR809" s="584" t="s">
        <v>3831</v>
      </c>
      <c r="CS809" s="584" t="s">
        <v>2583</v>
      </c>
      <c r="CT809" s="584" t="s">
        <v>2584</v>
      </c>
      <c r="CU809" s="584" t="s">
        <v>3080</v>
      </c>
      <c r="CV809" s="585" t="s">
        <v>3081</v>
      </c>
    </row>
    <row r="810" spans="91:100" ht="25.5" x14ac:dyDescent="0.25">
      <c r="CM810" s="582"/>
      <c r="CN810" s="584" t="s">
        <v>3832</v>
      </c>
      <c r="CO810" s="584" t="s">
        <v>1910</v>
      </c>
      <c r="CP810" s="584" t="s">
        <v>1888</v>
      </c>
      <c r="CQ810" s="584" t="s">
        <v>3833</v>
      </c>
      <c r="CR810" s="584" t="s">
        <v>3833</v>
      </c>
      <c r="CS810" s="584" t="s">
        <v>2583</v>
      </c>
      <c r="CT810" s="584" t="s">
        <v>2584</v>
      </c>
      <c r="CU810" s="584" t="s">
        <v>3080</v>
      </c>
      <c r="CV810" s="585" t="s">
        <v>3081</v>
      </c>
    </row>
    <row r="811" spans="91:100" ht="25.5" x14ac:dyDescent="0.25">
      <c r="CM811" s="582"/>
      <c r="CN811" s="584" t="s">
        <v>3834</v>
      </c>
      <c r="CO811" s="584" t="s">
        <v>1910</v>
      </c>
      <c r="CP811" s="584" t="s">
        <v>1888</v>
      </c>
      <c r="CQ811" s="584" t="s">
        <v>3835</v>
      </c>
      <c r="CR811" s="584" t="s">
        <v>3835</v>
      </c>
      <c r="CS811" s="584" t="s">
        <v>2583</v>
      </c>
      <c r="CT811" s="584" t="s">
        <v>2584</v>
      </c>
      <c r="CU811" s="584" t="s">
        <v>3080</v>
      </c>
      <c r="CV811" s="585" t="s">
        <v>3081</v>
      </c>
    </row>
    <row r="812" spans="91:100" ht="25.5" x14ac:dyDescent="0.25">
      <c r="CM812" s="582"/>
      <c r="CN812" s="584" t="s">
        <v>3836</v>
      </c>
      <c r="CO812" s="584" t="s">
        <v>1910</v>
      </c>
      <c r="CP812" s="584" t="s">
        <v>1888</v>
      </c>
      <c r="CQ812" s="584" t="s">
        <v>3837</v>
      </c>
      <c r="CR812" s="584" t="s">
        <v>3837</v>
      </c>
      <c r="CS812" s="584" t="s">
        <v>2583</v>
      </c>
      <c r="CT812" s="584" t="s">
        <v>2584</v>
      </c>
      <c r="CU812" s="584" t="s">
        <v>3080</v>
      </c>
      <c r="CV812" s="585" t="s">
        <v>3081</v>
      </c>
    </row>
    <row r="813" spans="91:100" ht="25.5" x14ac:dyDescent="0.25">
      <c r="CM813" s="582"/>
      <c r="CN813" s="584" t="s">
        <v>3838</v>
      </c>
      <c r="CO813" s="584" t="s">
        <v>1910</v>
      </c>
      <c r="CP813" s="584" t="s">
        <v>1888</v>
      </c>
      <c r="CQ813" s="584" t="s">
        <v>3839</v>
      </c>
      <c r="CR813" s="584" t="s">
        <v>3839</v>
      </c>
      <c r="CS813" s="584" t="s">
        <v>2583</v>
      </c>
      <c r="CT813" s="584" t="s">
        <v>2584</v>
      </c>
      <c r="CU813" s="584" t="s">
        <v>3080</v>
      </c>
      <c r="CV813" s="585" t="s">
        <v>3081</v>
      </c>
    </row>
    <row r="814" spans="91:100" ht="25.5" x14ac:dyDescent="0.25">
      <c r="CM814" s="582"/>
      <c r="CN814" s="584" t="s">
        <v>3840</v>
      </c>
      <c r="CO814" s="584" t="s">
        <v>1910</v>
      </c>
      <c r="CP814" s="584" t="s">
        <v>1888</v>
      </c>
      <c r="CQ814" s="584" t="s">
        <v>3841</v>
      </c>
      <c r="CR814" s="584" t="s">
        <v>3841</v>
      </c>
      <c r="CS814" s="584" t="s">
        <v>2583</v>
      </c>
      <c r="CT814" s="584" t="s">
        <v>2584</v>
      </c>
      <c r="CU814" s="584" t="s">
        <v>3080</v>
      </c>
      <c r="CV814" s="585" t="s">
        <v>3081</v>
      </c>
    </row>
    <row r="815" spans="91:100" ht="25.5" x14ac:dyDescent="0.25">
      <c r="CM815" s="582"/>
      <c r="CN815" s="584" t="s">
        <v>3842</v>
      </c>
      <c r="CO815" s="584" t="s">
        <v>1910</v>
      </c>
      <c r="CP815" s="584" t="s">
        <v>1888</v>
      </c>
      <c r="CQ815" s="584" t="s">
        <v>3843</v>
      </c>
      <c r="CR815" s="584" t="s">
        <v>3843</v>
      </c>
      <c r="CS815" s="584" t="s">
        <v>2583</v>
      </c>
      <c r="CT815" s="584" t="s">
        <v>2584</v>
      </c>
      <c r="CU815" s="584" t="s">
        <v>3080</v>
      </c>
      <c r="CV815" s="585" t="s">
        <v>3081</v>
      </c>
    </row>
    <row r="816" spans="91:100" x14ac:dyDescent="0.25">
      <c r="CM816" s="582"/>
      <c r="CN816" s="584" t="s">
        <v>3844</v>
      </c>
      <c r="CO816" s="584" t="s">
        <v>1910</v>
      </c>
      <c r="CP816" s="584" t="s">
        <v>1888</v>
      </c>
      <c r="CQ816" s="584" t="s">
        <v>3845</v>
      </c>
      <c r="CR816" s="584" t="s">
        <v>3845</v>
      </c>
      <c r="CS816" s="584" t="s">
        <v>1890</v>
      </c>
      <c r="CT816" s="584" t="s">
        <v>3163</v>
      </c>
      <c r="CU816" s="584" t="s">
        <v>1892</v>
      </c>
      <c r="CV816" s="585" t="s">
        <v>1893</v>
      </c>
    </row>
    <row r="817" spans="91:100" ht="25.5" x14ac:dyDescent="0.25">
      <c r="CM817" s="582"/>
      <c r="CN817" s="584" t="s">
        <v>3846</v>
      </c>
      <c r="CO817" s="584" t="s">
        <v>1910</v>
      </c>
      <c r="CP817" s="584" t="s">
        <v>1888</v>
      </c>
      <c r="CQ817" s="584" t="s">
        <v>3847</v>
      </c>
      <c r="CR817" s="584" t="s">
        <v>3847</v>
      </c>
      <c r="CS817" s="584" t="s">
        <v>2583</v>
      </c>
      <c r="CT817" s="584" t="s">
        <v>2584</v>
      </c>
      <c r="CU817" s="584" t="s">
        <v>3080</v>
      </c>
      <c r="CV817" s="585" t="s">
        <v>3081</v>
      </c>
    </row>
    <row r="818" spans="91:100" ht="25.5" x14ac:dyDescent="0.25">
      <c r="CM818" s="582"/>
      <c r="CN818" s="584" t="s">
        <v>3848</v>
      </c>
      <c r="CO818" s="584" t="s">
        <v>1910</v>
      </c>
      <c r="CP818" s="584" t="s">
        <v>1888</v>
      </c>
      <c r="CQ818" s="584" t="s">
        <v>3849</v>
      </c>
      <c r="CR818" s="584" t="s">
        <v>3849</v>
      </c>
      <c r="CS818" s="584" t="s">
        <v>2583</v>
      </c>
      <c r="CT818" s="584" t="s">
        <v>2584</v>
      </c>
      <c r="CU818" s="584" t="s">
        <v>3080</v>
      </c>
      <c r="CV818" s="585" t="s">
        <v>3081</v>
      </c>
    </row>
    <row r="819" spans="91:100" ht="25.5" x14ac:dyDescent="0.25">
      <c r="CM819" s="582"/>
      <c r="CN819" s="584" t="s">
        <v>3850</v>
      </c>
      <c r="CO819" s="584" t="s">
        <v>1910</v>
      </c>
      <c r="CP819" s="584" t="s">
        <v>1888</v>
      </c>
      <c r="CQ819" s="584" t="s">
        <v>3851</v>
      </c>
      <c r="CR819" s="584" t="s">
        <v>3851</v>
      </c>
      <c r="CS819" s="584" t="s">
        <v>2583</v>
      </c>
      <c r="CT819" s="584" t="s">
        <v>2584</v>
      </c>
      <c r="CU819" s="584" t="s">
        <v>3080</v>
      </c>
      <c r="CV819" s="585" t="s">
        <v>3081</v>
      </c>
    </row>
    <row r="820" spans="91:100" ht="25.5" x14ac:dyDescent="0.25">
      <c r="CM820" s="582"/>
      <c r="CN820" s="584" t="s">
        <v>3852</v>
      </c>
      <c r="CO820" s="584" t="s">
        <v>1910</v>
      </c>
      <c r="CP820" s="584" t="s">
        <v>1888</v>
      </c>
      <c r="CQ820" s="584" t="s">
        <v>3853</v>
      </c>
      <c r="CR820" s="584" t="s">
        <v>3853</v>
      </c>
      <c r="CS820" s="584" t="s">
        <v>2583</v>
      </c>
      <c r="CT820" s="584" t="s">
        <v>2584</v>
      </c>
      <c r="CU820" s="584" t="s">
        <v>3080</v>
      </c>
      <c r="CV820" s="585" t="s">
        <v>3081</v>
      </c>
    </row>
    <row r="821" spans="91:100" ht="25.5" x14ac:dyDescent="0.25">
      <c r="CM821" s="582"/>
      <c r="CN821" s="584" t="s">
        <v>3854</v>
      </c>
      <c r="CO821" s="584" t="s">
        <v>1910</v>
      </c>
      <c r="CP821" s="584" t="s">
        <v>1888</v>
      </c>
      <c r="CQ821" s="584" t="s">
        <v>3855</v>
      </c>
      <c r="CR821" s="584" t="s">
        <v>3855</v>
      </c>
      <c r="CS821" s="584" t="s">
        <v>2583</v>
      </c>
      <c r="CT821" s="584" t="s">
        <v>2584</v>
      </c>
      <c r="CU821" s="584" t="s">
        <v>3080</v>
      </c>
      <c r="CV821" s="585" t="s">
        <v>3081</v>
      </c>
    </row>
    <row r="822" spans="91:100" ht="25.5" x14ac:dyDescent="0.25">
      <c r="CM822" s="582"/>
      <c r="CN822" s="584" t="s">
        <v>3856</v>
      </c>
      <c r="CO822" s="584" t="s">
        <v>1910</v>
      </c>
      <c r="CP822" s="584" t="s">
        <v>1888</v>
      </c>
      <c r="CQ822" s="584" t="s">
        <v>3857</v>
      </c>
      <c r="CR822" s="584" t="s">
        <v>3857</v>
      </c>
      <c r="CS822" s="584" t="s">
        <v>2583</v>
      </c>
      <c r="CT822" s="584" t="s">
        <v>2584</v>
      </c>
      <c r="CU822" s="584" t="s">
        <v>3080</v>
      </c>
      <c r="CV822" s="585" t="s">
        <v>3081</v>
      </c>
    </row>
    <row r="823" spans="91:100" ht="25.5" x14ac:dyDescent="0.25">
      <c r="CM823" s="582"/>
      <c r="CN823" s="584" t="s">
        <v>3858</v>
      </c>
      <c r="CO823" s="584" t="s">
        <v>1910</v>
      </c>
      <c r="CP823" s="584" t="s">
        <v>1888</v>
      </c>
      <c r="CQ823" s="584" t="s">
        <v>3859</v>
      </c>
      <c r="CR823" s="584" t="s">
        <v>3859</v>
      </c>
      <c r="CS823" s="584" t="s">
        <v>2583</v>
      </c>
      <c r="CT823" s="584" t="s">
        <v>2584</v>
      </c>
      <c r="CU823" s="584" t="s">
        <v>3080</v>
      </c>
      <c r="CV823" s="585" t="s">
        <v>3081</v>
      </c>
    </row>
    <row r="824" spans="91:100" ht="25.5" x14ac:dyDescent="0.25">
      <c r="CM824" s="582"/>
      <c r="CN824" s="584" t="s">
        <v>3860</v>
      </c>
      <c r="CO824" s="584" t="s">
        <v>1910</v>
      </c>
      <c r="CP824" s="584" t="s">
        <v>1888</v>
      </c>
      <c r="CQ824" s="584" t="s">
        <v>3861</v>
      </c>
      <c r="CR824" s="584" t="s">
        <v>3861</v>
      </c>
      <c r="CS824" s="584" t="s">
        <v>2583</v>
      </c>
      <c r="CT824" s="584" t="s">
        <v>2584</v>
      </c>
      <c r="CU824" s="584" t="s">
        <v>3080</v>
      </c>
      <c r="CV824" s="585" t="s">
        <v>3081</v>
      </c>
    </row>
    <row r="825" spans="91:100" ht="25.5" x14ac:dyDescent="0.25">
      <c r="CM825" s="582"/>
      <c r="CN825" s="584" t="s">
        <v>3862</v>
      </c>
      <c r="CO825" s="584" t="s">
        <v>1910</v>
      </c>
      <c r="CP825" s="584" t="s">
        <v>1888</v>
      </c>
      <c r="CQ825" s="584" t="s">
        <v>3863</v>
      </c>
      <c r="CR825" s="584" t="s">
        <v>3863</v>
      </c>
      <c r="CS825" s="584" t="s">
        <v>2583</v>
      </c>
      <c r="CT825" s="584" t="s">
        <v>2584</v>
      </c>
      <c r="CU825" s="584" t="s">
        <v>3080</v>
      </c>
      <c r="CV825" s="585" t="s">
        <v>3081</v>
      </c>
    </row>
    <row r="826" spans="91:100" ht="25.5" x14ac:dyDescent="0.25">
      <c r="CM826" s="582"/>
      <c r="CN826" s="584" t="s">
        <v>3864</v>
      </c>
      <c r="CO826" s="584" t="s">
        <v>1910</v>
      </c>
      <c r="CP826" s="584" t="s">
        <v>1888</v>
      </c>
      <c r="CQ826" s="584" t="s">
        <v>3865</v>
      </c>
      <c r="CR826" s="584" t="s">
        <v>3865</v>
      </c>
      <c r="CS826" s="584" t="s">
        <v>2583</v>
      </c>
      <c r="CT826" s="584" t="s">
        <v>2584</v>
      </c>
      <c r="CU826" s="584" t="s">
        <v>3080</v>
      </c>
      <c r="CV826" s="585" t="s">
        <v>3081</v>
      </c>
    </row>
    <row r="827" spans="91:100" ht="25.5" x14ac:dyDescent="0.25">
      <c r="CM827" s="582"/>
      <c r="CN827" s="584" t="s">
        <v>3866</v>
      </c>
      <c r="CO827" s="584" t="s">
        <v>1910</v>
      </c>
      <c r="CP827" s="584" t="s">
        <v>1888</v>
      </c>
      <c r="CQ827" s="584" t="s">
        <v>3867</v>
      </c>
      <c r="CR827" s="584" t="s">
        <v>3867</v>
      </c>
      <c r="CS827" s="584" t="s">
        <v>2583</v>
      </c>
      <c r="CT827" s="584" t="s">
        <v>2584</v>
      </c>
      <c r="CU827" s="584" t="s">
        <v>3080</v>
      </c>
      <c r="CV827" s="585" t="s">
        <v>3081</v>
      </c>
    </row>
    <row r="828" spans="91:100" ht="25.5" x14ac:dyDescent="0.25">
      <c r="CM828" s="582"/>
      <c r="CN828" s="584" t="s">
        <v>3868</v>
      </c>
      <c r="CO828" s="584" t="s">
        <v>1910</v>
      </c>
      <c r="CP828" s="584" t="s">
        <v>1888</v>
      </c>
      <c r="CQ828" s="584" t="s">
        <v>3869</v>
      </c>
      <c r="CR828" s="584" t="s">
        <v>3869</v>
      </c>
      <c r="CS828" s="584" t="s">
        <v>2583</v>
      </c>
      <c r="CT828" s="584" t="s">
        <v>2584</v>
      </c>
      <c r="CU828" s="584" t="s">
        <v>3080</v>
      </c>
      <c r="CV828" s="585" t="s">
        <v>3081</v>
      </c>
    </row>
    <row r="829" spans="91:100" ht="25.5" x14ac:dyDescent="0.25">
      <c r="CM829" s="582"/>
      <c r="CN829" s="584" t="s">
        <v>3870</v>
      </c>
      <c r="CO829" s="584" t="s">
        <v>1910</v>
      </c>
      <c r="CP829" s="584" t="s">
        <v>1888</v>
      </c>
      <c r="CQ829" s="584" t="s">
        <v>3871</v>
      </c>
      <c r="CR829" s="584" t="s">
        <v>3871</v>
      </c>
      <c r="CS829" s="584" t="s">
        <v>2583</v>
      </c>
      <c r="CT829" s="584" t="s">
        <v>2584</v>
      </c>
      <c r="CU829" s="584" t="s">
        <v>3080</v>
      </c>
      <c r="CV829" s="585" t="s">
        <v>3081</v>
      </c>
    </row>
    <row r="830" spans="91:100" ht="25.5" x14ac:dyDescent="0.25">
      <c r="CM830" s="582"/>
      <c r="CN830" s="584" t="s">
        <v>3872</v>
      </c>
      <c r="CO830" s="584" t="s">
        <v>1910</v>
      </c>
      <c r="CP830" s="584" t="s">
        <v>1888</v>
      </c>
      <c r="CQ830" s="584" t="s">
        <v>3873</v>
      </c>
      <c r="CR830" s="584" t="s">
        <v>3873</v>
      </c>
      <c r="CS830" s="584" t="s">
        <v>2583</v>
      </c>
      <c r="CT830" s="584" t="s">
        <v>2584</v>
      </c>
      <c r="CU830" s="584" t="s">
        <v>3080</v>
      </c>
      <c r="CV830" s="585" t="s">
        <v>3081</v>
      </c>
    </row>
    <row r="831" spans="91:100" ht="25.5" x14ac:dyDescent="0.25">
      <c r="CM831" s="582"/>
      <c r="CN831" s="584" t="s">
        <v>3874</v>
      </c>
      <c r="CO831" s="584" t="s">
        <v>1910</v>
      </c>
      <c r="CP831" s="584" t="s">
        <v>1888</v>
      </c>
      <c r="CQ831" s="584" t="s">
        <v>3875</v>
      </c>
      <c r="CR831" s="584" t="s">
        <v>3875</v>
      </c>
      <c r="CS831" s="584" t="s">
        <v>2583</v>
      </c>
      <c r="CT831" s="584" t="s">
        <v>2584</v>
      </c>
      <c r="CU831" s="584" t="s">
        <v>3080</v>
      </c>
      <c r="CV831" s="585" t="s">
        <v>3081</v>
      </c>
    </row>
    <row r="832" spans="91:100" ht="25.5" x14ac:dyDescent="0.25">
      <c r="CM832" s="582"/>
      <c r="CN832" s="584" t="s">
        <v>3876</v>
      </c>
      <c r="CO832" s="584" t="s">
        <v>1910</v>
      </c>
      <c r="CP832" s="584" t="s">
        <v>1888</v>
      </c>
      <c r="CQ832" s="584" t="s">
        <v>3877</v>
      </c>
      <c r="CR832" s="584" t="s">
        <v>3877</v>
      </c>
      <c r="CS832" s="584" t="s">
        <v>2583</v>
      </c>
      <c r="CT832" s="584" t="s">
        <v>2584</v>
      </c>
      <c r="CU832" s="584" t="s">
        <v>3080</v>
      </c>
      <c r="CV832" s="585" t="s">
        <v>3081</v>
      </c>
    </row>
    <row r="833" spans="91:100" ht="25.5" x14ac:dyDescent="0.25">
      <c r="CM833" s="582"/>
      <c r="CN833" s="584" t="s">
        <v>3878</v>
      </c>
      <c r="CO833" s="584" t="s">
        <v>1910</v>
      </c>
      <c r="CP833" s="584" t="s">
        <v>1888</v>
      </c>
      <c r="CQ833" s="584" t="s">
        <v>3879</v>
      </c>
      <c r="CR833" s="584" t="s">
        <v>3879</v>
      </c>
      <c r="CS833" s="584" t="s">
        <v>2583</v>
      </c>
      <c r="CT833" s="584" t="s">
        <v>2584</v>
      </c>
      <c r="CU833" s="584" t="s">
        <v>3080</v>
      </c>
      <c r="CV833" s="585" t="s">
        <v>3081</v>
      </c>
    </row>
    <row r="834" spans="91:100" ht="25.5" x14ac:dyDescent="0.25">
      <c r="CM834" s="582"/>
      <c r="CN834" s="584" t="s">
        <v>3880</v>
      </c>
      <c r="CO834" s="584" t="s">
        <v>1910</v>
      </c>
      <c r="CP834" s="584" t="s">
        <v>1888</v>
      </c>
      <c r="CQ834" s="584" t="s">
        <v>3881</v>
      </c>
      <c r="CR834" s="584" t="s">
        <v>3881</v>
      </c>
      <c r="CS834" s="584" t="s">
        <v>2583</v>
      </c>
      <c r="CT834" s="584" t="s">
        <v>2584</v>
      </c>
      <c r="CU834" s="584" t="s">
        <v>3080</v>
      </c>
      <c r="CV834" s="585" t="s">
        <v>3081</v>
      </c>
    </row>
    <row r="835" spans="91:100" ht="25.5" x14ac:dyDescent="0.25">
      <c r="CM835" s="582"/>
      <c r="CN835" s="584" t="s">
        <v>3882</v>
      </c>
      <c r="CO835" s="584" t="s">
        <v>1910</v>
      </c>
      <c r="CP835" s="584" t="s">
        <v>1888</v>
      </c>
      <c r="CQ835" s="584" t="s">
        <v>3883</v>
      </c>
      <c r="CR835" s="584" t="s">
        <v>3883</v>
      </c>
      <c r="CS835" s="584" t="s">
        <v>2583</v>
      </c>
      <c r="CT835" s="584" t="s">
        <v>2584</v>
      </c>
      <c r="CU835" s="584" t="s">
        <v>3080</v>
      </c>
      <c r="CV835" s="585" t="s">
        <v>3081</v>
      </c>
    </row>
    <row r="836" spans="91:100" ht="25.5" x14ac:dyDescent="0.25">
      <c r="CM836" s="582"/>
      <c r="CN836" s="584" t="s">
        <v>3884</v>
      </c>
      <c r="CO836" s="584" t="s">
        <v>1910</v>
      </c>
      <c r="CP836" s="584" t="s">
        <v>1888</v>
      </c>
      <c r="CQ836" s="584" t="s">
        <v>3885</v>
      </c>
      <c r="CR836" s="584" t="s">
        <v>3885</v>
      </c>
      <c r="CS836" s="584" t="s">
        <v>2583</v>
      </c>
      <c r="CT836" s="584" t="s">
        <v>2584</v>
      </c>
      <c r="CU836" s="584" t="s">
        <v>3080</v>
      </c>
      <c r="CV836" s="585" t="s">
        <v>3081</v>
      </c>
    </row>
    <row r="837" spans="91:100" ht="25.5" x14ac:dyDescent="0.25">
      <c r="CM837" s="582"/>
      <c r="CN837" s="584" t="s">
        <v>3886</v>
      </c>
      <c r="CO837" s="584" t="s">
        <v>1910</v>
      </c>
      <c r="CP837" s="584" t="s">
        <v>1888</v>
      </c>
      <c r="CQ837" s="584" t="s">
        <v>3887</v>
      </c>
      <c r="CR837" s="584" t="s">
        <v>3887</v>
      </c>
      <c r="CS837" s="584" t="s">
        <v>2583</v>
      </c>
      <c r="CT837" s="584" t="s">
        <v>2584</v>
      </c>
      <c r="CU837" s="584" t="s">
        <v>3080</v>
      </c>
      <c r="CV837" s="585" t="s">
        <v>3081</v>
      </c>
    </row>
    <row r="838" spans="91:100" ht="25.5" x14ac:dyDescent="0.25">
      <c r="CM838" s="582"/>
      <c r="CN838" s="584" t="s">
        <v>3888</v>
      </c>
      <c r="CO838" s="584" t="s">
        <v>1910</v>
      </c>
      <c r="CP838" s="584" t="s">
        <v>1888</v>
      </c>
      <c r="CQ838" s="584" t="s">
        <v>3889</v>
      </c>
      <c r="CR838" s="584" t="s">
        <v>3889</v>
      </c>
      <c r="CS838" s="584" t="s">
        <v>2583</v>
      </c>
      <c r="CT838" s="584" t="s">
        <v>2584</v>
      </c>
      <c r="CU838" s="584" t="s">
        <v>3080</v>
      </c>
      <c r="CV838" s="585" t="s">
        <v>3081</v>
      </c>
    </row>
    <row r="839" spans="91:100" ht="25.5" x14ac:dyDescent="0.25">
      <c r="CM839" s="582"/>
      <c r="CN839" s="584" t="s">
        <v>3890</v>
      </c>
      <c r="CO839" s="584" t="s">
        <v>1910</v>
      </c>
      <c r="CP839" s="584" t="s">
        <v>1888</v>
      </c>
      <c r="CQ839" s="584" t="s">
        <v>3891</v>
      </c>
      <c r="CR839" s="584" t="s">
        <v>3891</v>
      </c>
      <c r="CS839" s="584" t="s">
        <v>2583</v>
      </c>
      <c r="CT839" s="584" t="s">
        <v>2584</v>
      </c>
      <c r="CU839" s="584" t="s">
        <v>3080</v>
      </c>
      <c r="CV839" s="585" t="s">
        <v>3081</v>
      </c>
    </row>
    <row r="840" spans="91:100" ht="25.5" x14ac:dyDescent="0.25">
      <c r="CM840" s="582"/>
      <c r="CN840" s="584" t="s">
        <v>3892</v>
      </c>
      <c r="CO840" s="584" t="s">
        <v>1910</v>
      </c>
      <c r="CP840" s="584" t="s">
        <v>1888</v>
      </c>
      <c r="CQ840" s="584" t="s">
        <v>3893</v>
      </c>
      <c r="CR840" s="584" t="s">
        <v>3893</v>
      </c>
      <c r="CS840" s="584" t="s">
        <v>2583</v>
      </c>
      <c r="CT840" s="584" t="s">
        <v>2584</v>
      </c>
      <c r="CU840" s="584" t="s">
        <v>3080</v>
      </c>
      <c r="CV840" s="585" t="s">
        <v>3081</v>
      </c>
    </row>
    <row r="841" spans="91:100" ht="25.5" x14ac:dyDescent="0.25">
      <c r="CM841" s="582"/>
      <c r="CN841" s="584" t="s">
        <v>3894</v>
      </c>
      <c r="CO841" s="584" t="s">
        <v>1910</v>
      </c>
      <c r="CP841" s="584" t="s">
        <v>1888</v>
      </c>
      <c r="CQ841" s="584" t="s">
        <v>3895</v>
      </c>
      <c r="CR841" s="584" t="s">
        <v>3895</v>
      </c>
      <c r="CS841" s="584" t="s">
        <v>2583</v>
      </c>
      <c r="CT841" s="584" t="s">
        <v>2584</v>
      </c>
      <c r="CU841" s="584" t="s">
        <v>3080</v>
      </c>
      <c r="CV841" s="585" t="s">
        <v>3081</v>
      </c>
    </row>
    <row r="842" spans="91:100" ht="25.5" x14ac:dyDescent="0.25">
      <c r="CM842" s="582"/>
      <c r="CN842" s="584" t="s">
        <v>3896</v>
      </c>
      <c r="CO842" s="584" t="s">
        <v>1910</v>
      </c>
      <c r="CP842" s="584" t="s">
        <v>1888</v>
      </c>
      <c r="CQ842" s="584" t="s">
        <v>3897</v>
      </c>
      <c r="CR842" s="584" t="s">
        <v>3897</v>
      </c>
      <c r="CS842" s="584" t="s">
        <v>2583</v>
      </c>
      <c r="CT842" s="584" t="s">
        <v>2584</v>
      </c>
      <c r="CU842" s="584" t="s">
        <v>3080</v>
      </c>
      <c r="CV842" s="585" t="s">
        <v>3081</v>
      </c>
    </row>
    <row r="843" spans="91:100" ht="25.5" x14ac:dyDescent="0.25">
      <c r="CM843" s="582"/>
      <c r="CN843" s="584" t="s">
        <v>3898</v>
      </c>
      <c r="CO843" s="584" t="s">
        <v>1910</v>
      </c>
      <c r="CP843" s="584" t="s">
        <v>1888</v>
      </c>
      <c r="CQ843" s="584" t="s">
        <v>3899</v>
      </c>
      <c r="CR843" s="584" t="s">
        <v>3899</v>
      </c>
      <c r="CS843" s="584" t="s">
        <v>2583</v>
      </c>
      <c r="CT843" s="584" t="s">
        <v>2584</v>
      </c>
      <c r="CU843" s="584" t="s">
        <v>3080</v>
      </c>
      <c r="CV843" s="585" t="s">
        <v>3081</v>
      </c>
    </row>
    <row r="844" spans="91:100" ht="25.5" x14ac:dyDescent="0.25">
      <c r="CM844" s="582"/>
      <c r="CN844" s="584" t="s">
        <v>3900</v>
      </c>
      <c r="CO844" s="584" t="s">
        <v>1910</v>
      </c>
      <c r="CP844" s="584" t="s">
        <v>1888</v>
      </c>
      <c r="CQ844" s="584" t="s">
        <v>3901</v>
      </c>
      <c r="CR844" s="584" t="s">
        <v>3901</v>
      </c>
      <c r="CS844" s="584" t="s">
        <v>2583</v>
      </c>
      <c r="CT844" s="584" t="s">
        <v>2584</v>
      </c>
      <c r="CU844" s="584" t="s">
        <v>3080</v>
      </c>
      <c r="CV844" s="585" t="s">
        <v>3081</v>
      </c>
    </row>
    <row r="845" spans="91:100" ht="25.5" x14ac:dyDescent="0.25">
      <c r="CM845" s="582"/>
      <c r="CN845" s="584" t="s">
        <v>3902</v>
      </c>
      <c r="CO845" s="584" t="s">
        <v>1910</v>
      </c>
      <c r="CP845" s="584" t="s">
        <v>1888</v>
      </c>
      <c r="CQ845" s="584" t="s">
        <v>3903</v>
      </c>
      <c r="CR845" s="584" t="s">
        <v>3903</v>
      </c>
      <c r="CS845" s="584" t="s">
        <v>2583</v>
      </c>
      <c r="CT845" s="584" t="s">
        <v>2584</v>
      </c>
      <c r="CU845" s="584" t="s">
        <v>3080</v>
      </c>
      <c r="CV845" s="585" t="s">
        <v>3081</v>
      </c>
    </row>
    <row r="846" spans="91:100" ht="25.5" x14ac:dyDescent="0.25">
      <c r="CM846" s="582"/>
      <c r="CN846" s="584" t="s">
        <v>3904</v>
      </c>
      <c r="CO846" s="584" t="s">
        <v>1910</v>
      </c>
      <c r="CP846" s="584" t="s">
        <v>1888</v>
      </c>
      <c r="CQ846" s="584" t="s">
        <v>3905</v>
      </c>
      <c r="CR846" s="584" t="s">
        <v>3905</v>
      </c>
      <c r="CS846" s="584" t="s">
        <v>2583</v>
      </c>
      <c r="CT846" s="584" t="s">
        <v>2584</v>
      </c>
      <c r="CU846" s="584" t="s">
        <v>3080</v>
      </c>
      <c r="CV846" s="585" t="s">
        <v>3081</v>
      </c>
    </row>
    <row r="847" spans="91:100" ht="25.5" x14ac:dyDescent="0.25">
      <c r="CM847" s="582"/>
      <c r="CN847" s="584" t="s">
        <v>3906</v>
      </c>
      <c r="CO847" s="584" t="s">
        <v>1910</v>
      </c>
      <c r="CP847" s="584" t="s">
        <v>1888</v>
      </c>
      <c r="CQ847" s="584" t="s">
        <v>3907</v>
      </c>
      <c r="CR847" s="584" t="s">
        <v>3907</v>
      </c>
      <c r="CS847" s="584" t="s">
        <v>2583</v>
      </c>
      <c r="CT847" s="584" t="s">
        <v>2584</v>
      </c>
      <c r="CU847" s="584" t="s">
        <v>3080</v>
      </c>
      <c r="CV847" s="585" t="s">
        <v>3081</v>
      </c>
    </row>
    <row r="848" spans="91:100" ht="25.5" x14ac:dyDescent="0.25">
      <c r="CM848" s="582"/>
      <c r="CN848" s="584" t="s">
        <v>3908</v>
      </c>
      <c r="CO848" s="584" t="s">
        <v>1910</v>
      </c>
      <c r="CP848" s="584" t="s">
        <v>1888</v>
      </c>
      <c r="CQ848" s="584" t="s">
        <v>3909</v>
      </c>
      <c r="CR848" s="584" t="s">
        <v>3909</v>
      </c>
      <c r="CS848" s="584" t="s">
        <v>2583</v>
      </c>
      <c r="CT848" s="584" t="s">
        <v>2584</v>
      </c>
      <c r="CU848" s="584" t="s">
        <v>3080</v>
      </c>
      <c r="CV848" s="585" t="s">
        <v>3081</v>
      </c>
    </row>
    <row r="849" spans="91:100" ht="25.5" x14ac:dyDescent="0.25">
      <c r="CM849" s="582"/>
      <c r="CN849" s="584" t="s">
        <v>3910</v>
      </c>
      <c r="CO849" s="584" t="s">
        <v>1910</v>
      </c>
      <c r="CP849" s="584" t="s">
        <v>1888</v>
      </c>
      <c r="CQ849" s="584" t="s">
        <v>3911</v>
      </c>
      <c r="CR849" s="584" t="s">
        <v>3911</v>
      </c>
      <c r="CS849" s="584" t="s">
        <v>2583</v>
      </c>
      <c r="CT849" s="584" t="s">
        <v>2584</v>
      </c>
      <c r="CU849" s="584" t="s">
        <v>3080</v>
      </c>
      <c r="CV849" s="585" t="s">
        <v>3081</v>
      </c>
    </row>
    <row r="850" spans="91:100" ht="25.5" x14ac:dyDescent="0.25">
      <c r="CM850" s="582"/>
      <c r="CN850" s="584" t="s">
        <v>3912</v>
      </c>
      <c r="CO850" s="584" t="s">
        <v>1910</v>
      </c>
      <c r="CP850" s="584" t="s">
        <v>1888</v>
      </c>
      <c r="CQ850" s="584" t="s">
        <v>3913</v>
      </c>
      <c r="CR850" s="584" t="s">
        <v>3913</v>
      </c>
      <c r="CS850" s="584" t="s">
        <v>2583</v>
      </c>
      <c r="CT850" s="584" t="s">
        <v>2584</v>
      </c>
      <c r="CU850" s="584" t="s">
        <v>3080</v>
      </c>
      <c r="CV850" s="585" t="s">
        <v>3081</v>
      </c>
    </row>
    <row r="851" spans="91:100" ht="25.5" x14ac:dyDescent="0.25">
      <c r="CM851" s="582"/>
      <c r="CN851" s="584" t="s">
        <v>3914</v>
      </c>
      <c r="CO851" s="584" t="s">
        <v>1910</v>
      </c>
      <c r="CP851" s="584" t="s">
        <v>1888</v>
      </c>
      <c r="CQ851" s="584" t="s">
        <v>3915</v>
      </c>
      <c r="CR851" s="584" t="s">
        <v>3915</v>
      </c>
      <c r="CS851" s="584" t="s">
        <v>2583</v>
      </c>
      <c r="CT851" s="584" t="s">
        <v>2584</v>
      </c>
      <c r="CU851" s="584" t="s">
        <v>3080</v>
      </c>
      <c r="CV851" s="585" t="s">
        <v>3081</v>
      </c>
    </row>
    <row r="852" spans="91:100" ht="25.5" x14ac:dyDescent="0.25">
      <c r="CM852" s="582"/>
      <c r="CN852" s="584" t="s">
        <v>3916</v>
      </c>
      <c r="CO852" s="584" t="s">
        <v>1910</v>
      </c>
      <c r="CP852" s="584" t="s">
        <v>1888</v>
      </c>
      <c r="CQ852" s="584" t="s">
        <v>3917</v>
      </c>
      <c r="CR852" s="584" t="s">
        <v>3917</v>
      </c>
      <c r="CS852" s="584" t="s">
        <v>2583</v>
      </c>
      <c r="CT852" s="584" t="s">
        <v>2584</v>
      </c>
      <c r="CU852" s="584" t="s">
        <v>3080</v>
      </c>
      <c r="CV852" s="585" t="s">
        <v>3081</v>
      </c>
    </row>
    <row r="853" spans="91:100" ht="25.5" x14ac:dyDescent="0.25">
      <c r="CM853" s="582"/>
      <c r="CN853" s="584" t="s">
        <v>3918</v>
      </c>
      <c r="CO853" s="584" t="s">
        <v>1910</v>
      </c>
      <c r="CP853" s="584" t="s">
        <v>1888</v>
      </c>
      <c r="CQ853" s="584" t="s">
        <v>3919</v>
      </c>
      <c r="CR853" s="584" t="s">
        <v>3919</v>
      </c>
      <c r="CS853" s="584" t="s">
        <v>2583</v>
      </c>
      <c r="CT853" s="584" t="s">
        <v>2584</v>
      </c>
      <c r="CU853" s="584" t="s">
        <v>3080</v>
      </c>
      <c r="CV853" s="585" t="s">
        <v>3081</v>
      </c>
    </row>
    <row r="854" spans="91:100" ht="25.5" x14ac:dyDescent="0.25">
      <c r="CM854" s="582"/>
      <c r="CN854" s="584" t="s">
        <v>3920</v>
      </c>
      <c r="CO854" s="584" t="s">
        <v>1910</v>
      </c>
      <c r="CP854" s="584" t="s">
        <v>1888</v>
      </c>
      <c r="CQ854" s="584" t="s">
        <v>3921</v>
      </c>
      <c r="CR854" s="584" t="s">
        <v>3921</v>
      </c>
      <c r="CS854" s="584" t="s">
        <v>2583</v>
      </c>
      <c r="CT854" s="584" t="s">
        <v>2584</v>
      </c>
      <c r="CU854" s="584" t="s">
        <v>3080</v>
      </c>
      <c r="CV854" s="585" t="s">
        <v>3081</v>
      </c>
    </row>
    <row r="855" spans="91:100" ht="25.5" x14ac:dyDescent="0.25">
      <c r="CM855" s="582"/>
      <c r="CN855" s="584" t="s">
        <v>3922</v>
      </c>
      <c r="CO855" s="584" t="s">
        <v>1910</v>
      </c>
      <c r="CP855" s="584" t="s">
        <v>1888</v>
      </c>
      <c r="CQ855" s="584" t="s">
        <v>3923</v>
      </c>
      <c r="CR855" s="584" t="s">
        <v>3923</v>
      </c>
      <c r="CS855" s="584" t="s">
        <v>2583</v>
      </c>
      <c r="CT855" s="584" t="s">
        <v>2584</v>
      </c>
      <c r="CU855" s="584" t="s">
        <v>3080</v>
      </c>
      <c r="CV855" s="585" t="s">
        <v>3081</v>
      </c>
    </row>
    <row r="856" spans="91:100" ht="25.5" x14ac:dyDescent="0.25">
      <c r="CM856" s="582"/>
      <c r="CN856" s="584" t="s">
        <v>3924</v>
      </c>
      <c r="CO856" s="584" t="s">
        <v>1910</v>
      </c>
      <c r="CP856" s="584" t="s">
        <v>1888</v>
      </c>
      <c r="CQ856" s="584" t="s">
        <v>3925</v>
      </c>
      <c r="CR856" s="584" t="s">
        <v>3925</v>
      </c>
      <c r="CS856" s="584" t="s">
        <v>2583</v>
      </c>
      <c r="CT856" s="584" t="s">
        <v>2584</v>
      </c>
      <c r="CU856" s="584" t="s">
        <v>3080</v>
      </c>
      <c r="CV856" s="585" t="s">
        <v>3081</v>
      </c>
    </row>
    <row r="857" spans="91:100" ht="25.5" x14ac:dyDescent="0.25">
      <c r="CM857" s="582"/>
      <c r="CN857" s="584" t="s">
        <v>3926</v>
      </c>
      <c r="CO857" s="584" t="s">
        <v>1910</v>
      </c>
      <c r="CP857" s="584" t="s">
        <v>1888</v>
      </c>
      <c r="CQ857" s="584" t="s">
        <v>3927</v>
      </c>
      <c r="CR857" s="584" t="s">
        <v>3927</v>
      </c>
      <c r="CS857" s="584" t="s">
        <v>2583</v>
      </c>
      <c r="CT857" s="584" t="s">
        <v>2584</v>
      </c>
      <c r="CU857" s="584" t="s">
        <v>3080</v>
      </c>
      <c r="CV857" s="585" t="s">
        <v>3081</v>
      </c>
    </row>
    <row r="858" spans="91:100" ht="25.5" x14ac:dyDescent="0.25">
      <c r="CM858" s="582"/>
      <c r="CN858" s="584" t="s">
        <v>3928</v>
      </c>
      <c r="CO858" s="584" t="s">
        <v>1910</v>
      </c>
      <c r="CP858" s="584" t="s">
        <v>1888</v>
      </c>
      <c r="CQ858" s="584" t="s">
        <v>3929</v>
      </c>
      <c r="CR858" s="584" t="s">
        <v>3929</v>
      </c>
      <c r="CS858" s="584" t="s">
        <v>2583</v>
      </c>
      <c r="CT858" s="584" t="s">
        <v>2584</v>
      </c>
      <c r="CU858" s="584" t="s">
        <v>3080</v>
      </c>
      <c r="CV858" s="585" t="s">
        <v>3081</v>
      </c>
    </row>
    <row r="859" spans="91:100" ht="25.5" x14ac:dyDescent="0.25">
      <c r="CM859" s="582"/>
      <c r="CN859" s="584" t="s">
        <v>3930</v>
      </c>
      <c r="CO859" s="584" t="s">
        <v>1910</v>
      </c>
      <c r="CP859" s="584" t="s">
        <v>1888</v>
      </c>
      <c r="CQ859" s="584" t="s">
        <v>3931</v>
      </c>
      <c r="CR859" s="584" t="s">
        <v>3931</v>
      </c>
      <c r="CS859" s="584" t="s">
        <v>2583</v>
      </c>
      <c r="CT859" s="584" t="s">
        <v>2584</v>
      </c>
      <c r="CU859" s="584" t="s">
        <v>3080</v>
      </c>
      <c r="CV859" s="585" t="s">
        <v>3081</v>
      </c>
    </row>
    <row r="860" spans="91:100" ht="25.5" x14ac:dyDescent="0.25">
      <c r="CM860" s="582"/>
      <c r="CN860" s="584" t="s">
        <v>3932</v>
      </c>
      <c r="CO860" s="584" t="s">
        <v>1910</v>
      </c>
      <c r="CP860" s="584" t="s">
        <v>1888</v>
      </c>
      <c r="CQ860" s="584" t="s">
        <v>3933</v>
      </c>
      <c r="CR860" s="584" t="s">
        <v>3933</v>
      </c>
      <c r="CS860" s="584" t="s">
        <v>2583</v>
      </c>
      <c r="CT860" s="584" t="s">
        <v>2584</v>
      </c>
      <c r="CU860" s="584" t="s">
        <v>3080</v>
      </c>
      <c r="CV860" s="585" t="s">
        <v>3081</v>
      </c>
    </row>
    <row r="861" spans="91:100" ht="25.5" x14ac:dyDescent="0.25">
      <c r="CM861" s="582"/>
      <c r="CN861" s="584" t="s">
        <v>3934</v>
      </c>
      <c r="CO861" s="584" t="s">
        <v>1910</v>
      </c>
      <c r="CP861" s="584" t="s">
        <v>1888</v>
      </c>
      <c r="CQ861" s="584" t="s">
        <v>3935</v>
      </c>
      <c r="CR861" s="584" t="s">
        <v>3935</v>
      </c>
      <c r="CS861" s="584" t="s">
        <v>2583</v>
      </c>
      <c r="CT861" s="584" t="s">
        <v>2584</v>
      </c>
      <c r="CU861" s="584" t="s">
        <v>3080</v>
      </c>
      <c r="CV861" s="585" t="s">
        <v>3081</v>
      </c>
    </row>
    <row r="862" spans="91:100" ht="25.5" x14ac:dyDescent="0.25">
      <c r="CM862" s="582"/>
      <c r="CN862" s="584" t="s">
        <v>3936</v>
      </c>
      <c r="CO862" s="584" t="s">
        <v>1910</v>
      </c>
      <c r="CP862" s="584" t="s">
        <v>1888</v>
      </c>
      <c r="CQ862" s="584" t="s">
        <v>3937</v>
      </c>
      <c r="CR862" s="584" t="s">
        <v>3937</v>
      </c>
      <c r="CS862" s="584" t="s">
        <v>2583</v>
      </c>
      <c r="CT862" s="584" t="s">
        <v>2584</v>
      </c>
      <c r="CU862" s="584" t="s">
        <v>3080</v>
      </c>
      <c r="CV862" s="585" t="s">
        <v>3081</v>
      </c>
    </row>
    <row r="863" spans="91:100" ht="25.5" x14ac:dyDescent="0.25">
      <c r="CM863" s="582"/>
      <c r="CN863" s="584" t="s">
        <v>3938</v>
      </c>
      <c r="CO863" s="584" t="s">
        <v>1910</v>
      </c>
      <c r="CP863" s="584" t="s">
        <v>1888</v>
      </c>
      <c r="CQ863" s="584" t="s">
        <v>3939</v>
      </c>
      <c r="CR863" s="584" t="s">
        <v>3939</v>
      </c>
      <c r="CS863" s="584" t="s">
        <v>2583</v>
      </c>
      <c r="CT863" s="584" t="s">
        <v>2584</v>
      </c>
      <c r="CU863" s="584" t="s">
        <v>3080</v>
      </c>
      <c r="CV863" s="585" t="s">
        <v>3081</v>
      </c>
    </row>
    <row r="864" spans="91:100" ht="25.5" x14ac:dyDescent="0.25">
      <c r="CM864" s="582"/>
      <c r="CN864" s="584" t="s">
        <v>3940</v>
      </c>
      <c r="CO864" s="584" t="s">
        <v>1910</v>
      </c>
      <c r="CP864" s="584" t="s">
        <v>1888</v>
      </c>
      <c r="CQ864" s="584" t="s">
        <v>3941</v>
      </c>
      <c r="CR864" s="584" t="s">
        <v>3941</v>
      </c>
      <c r="CS864" s="584" t="s">
        <v>2583</v>
      </c>
      <c r="CT864" s="584" t="s">
        <v>2584</v>
      </c>
      <c r="CU864" s="584" t="s">
        <v>3080</v>
      </c>
      <c r="CV864" s="585" t="s">
        <v>3081</v>
      </c>
    </row>
    <row r="865" spans="91:100" ht="25.5" x14ac:dyDescent="0.25">
      <c r="CM865" s="582"/>
      <c r="CN865" s="584" t="s">
        <v>3942</v>
      </c>
      <c r="CO865" s="584" t="s">
        <v>1910</v>
      </c>
      <c r="CP865" s="584" t="s">
        <v>1888</v>
      </c>
      <c r="CQ865" s="584" t="s">
        <v>3943</v>
      </c>
      <c r="CR865" s="584" t="s">
        <v>3943</v>
      </c>
      <c r="CS865" s="584" t="s">
        <v>2583</v>
      </c>
      <c r="CT865" s="584" t="s">
        <v>2584</v>
      </c>
      <c r="CU865" s="584" t="s">
        <v>3080</v>
      </c>
      <c r="CV865" s="585" t="s">
        <v>3081</v>
      </c>
    </row>
    <row r="866" spans="91:100" ht="25.5" x14ac:dyDescent="0.25">
      <c r="CM866" s="582"/>
      <c r="CN866" s="584" t="s">
        <v>3944</v>
      </c>
      <c r="CO866" s="584" t="s">
        <v>1910</v>
      </c>
      <c r="CP866" s="584" t="s">
        <v>1888</v>
      </c>
      <c r="CQ866" s="584" t="s">
        <v>3945</v>
      </c>
      <c r="CR866" s="584" t="s">
        <v>3945</v>
      </c>
      <c r="CS866" s="584" t="s">
        <v>2583</v>
      </c>
      <c r="CT866" s="584" t="s">
        <v>2584</v>
      </c>
      <c r="CU866" s="584" t="s">
        <v>3080</v>
      </c>
      <c r="CV866" s="585" t="s">
        <v>3081</v>
      </c>
    </row>
    <row r="867" spans="91:100" ht="25.5" x14ac:dyDescent="0.25">
      <c r="CM867" s="582"/>
      <c r="CN867" s="584" t="s">
        <v>3946</v>
      </c>
      <c r="CO867" s="584" t="s">
        <v>1910</v>
      </c>
      <c r="CP867" s="584" t="s">
        <v>1888</v>
      </c>
      <c r="CQ867" s="584" t="s">
        <v>3947</v>
      </c>
      <c r="CR867" s="584" t="s">
        <v>3947</v>
      </c>
      <c r="CS867" s="584" t="s">
        <v>2583</v>
      </c>
      <c r="CT867" s="584" t="s">
        <v>2584</v>
      </c>
      <c r="CU867" s="584" t="s">
        <v>3080</v>
      </c>
      <c r="CV867" s="585" t="s">
        <v>3081</v>
      </c>
    </row>
    <row r="868" spans="91:100" ht="25.5" x14ac:dyDescent="0.25">
      <c r="CM868" s="582"/>
      <c r="CN868" s="584" t="s">
        <v>3948</v>
      </c>
      <c r="CO868" s="584" t="s">
        <v>1910</v>
      </c>
      <c r="CP868" s="584" t="s">
        <v>1888</v>
      </c>
      <c r="CQ868" s="584" t="s">
        <v>3949</v>
      </c>
      <c r="CR868" s="584" t="s">
        <v>3949</v>
      </c>
      <c r="CS868" s="584" t="s">
        <v>2583</v>
      </c>
      <c r="CT868" s="584" t="s">
        <v>2584</v>
      </c>
      <c r="CU868" s="584" t="s">
        <v>3080</v>
      </c>
      <c r="CV868" s="585" t="s">
        <v>3081</v>
      </c>
    </row>
    <row r="869" spans="91:100" ht="25.5" x14ac:dyDescent="0.25">
      <c r="CM869" s="582"/>
      <c r="CN869" s="584" t="s">
        <v>3950</v>
      </c>
      <c r="CO869" s="584" t="s">
        <v>1910</v>
      </c>
      <c r="CP869" s="584" t="s">
        <v>1888</v>
      </c>
      <c r="CQ869" s="584" t="s">
        <v>3951</v>
      </c>
      <c r="CR869" s="584" t="s">
        <v>3951</v>
      </c>
      <c r="CS869" s="584" t="s">
        <v>2583</v>
      </c>
      <c r="CT869" s="584" t="s">
        <v>2584</v>
      </c>
      <c r="CU869" s="584" t="s">
        <v>3080</v>
      </c>
      <c r="CV869" s="585" t="s">
        <v>3081</v>
      </c>
    </row>
    <row r="870" spans="91:100" ht="25.5" x14ac:dyDescent="0.25">
      <c r="CM870" s="582"/>
      <c r="CN870" s="584" t="s">
        <v>3952</v>
      </c>
      <c r="CO870" s="584" t="s">
        <v>1910</v>
      </c>
      <c r="CP870" s="584" t="s">
        <v>1888</v>
      </c>
      <c r="CQ870" s="584" t="s">
        <v>3953</v>
      </c>
      <c r="CR870" s="584" t="s">
        <v>3953</v>
      </c>
      <c r="CS870" s="584" t="s">
        <v>2583</v>
      </c>
      <c r="CT870" s="584" t="s">
        <v>2584</v>
      </c>
      <c r="CU870" s="584" t="s">
        <v>3080</v>
      </c>
      <c r="CV870" s="585" t="s">
        <v>3081</v>
      </c>
    </row>
    <row r="871" spans="91:100" ht="25.5" x14ac:dyDescent="0.25">
      <c r="CM871" s="582"/>
      <c r="CN871" s="584" t="s">
        <v>3954</v>
      </c>
      <c r="CO871" s="584" t="s">
        <v>1910</v>
      </c>
      <c r="CP871" s="584" t="s">
        <v>1888</v>
      </c>
      <c r="CQ871" s="584" t="s">
        <v>3955</v>
      </c>
      <c r="CR871" s="584" t="s">
        <v>3955</v>
      </c>
      <c r="CS871" s="584" t="s">
        <v>2583</v>
      </c>
      <c r="CT871" s="584" t="s">
        <v>2584</v>
      </c>
      <c r="CU871" s="584" t="s">
        <v>3080</v>
      </c>
      <c r="CV871" s="585" t="s">
        <v>3081</v>
      </c>
    </row>
    <row r="872" spans="91:100" ht="25.5" x14ac:dyDescent="0.25">
      <c r="CM872" s="582"/>
      <c r="CN872" s="584" t="s">
        <v>3956</v>
      </c>
      <c r="CO872" s="584" t="s">
        <v>1910</v>
      </c>
      <c r="CP872" s="584" t="s">
        <v>1888</v>
      </c>
      <c r="CQ872" s="584" t="s">
        <v>3957</v>
      </c>
      <c r="CR872" s="584" t="s">
        <v>3957</v>
      </c>
      <c r="CS872" s="584" t="s">
        <v>2583</v>
      </c>
      <c r="CT872" s="584" t="s">
        <v>2584</v>
      </c>
      <c r="CU872" s="584" t="s">
        <v>3080</v>
      </c>
      <c r="CV872" s="585" t="s">
        <v>3081</v>
      </c>
    </row>
    <row r="873" spans="91:100" ht="25.5" x14ac:dyDescent="0.25">
      <c r="CM873" s="582"/>
      <c r="CN873" s="584" t="s">
        <v>3958</v>
      </c>
      <c r="CO873" s="584" t="s">
        <v>1910</v>
      </c>
      <c r="CP873" s="584" t="s">
        <v>1888</v>
      </c>
      <c r="CQ873" s="584" t="s">
        <v>3959</v>
      </c>
      <c r="CR873" s="584" t="s">
        <v>3959</v>
      </c>
      <c r="CS873" s="584" t="s">
        <v>2583</v>
      </c>
      <c r="CT873" s="584" t="s">
        <v>2584</v>
      </c>
      <c r="CU873" s="584" t="s">
        <v>3080</v>
      </c>
      <c r="CV873" s="585" t="s">
        <v>3081</v>
      </c>
    </row>
    <row r="874" spans="91:100" ht="25.5" x14ac:dyDescent="0.25">
      <c r="CM874" s="582"/>
      <c r="CN874" s="584" t="s">
        <v>3960</v>
      </c>
      <c r="CO874" s="584" t="s">
        <v>1910</v>
      </c>
      <c r="CP874" s="584" t="s">
        <v>1888</v>
      </c>
      <c r="CQ874" s="584" t="s">
        <v>3961</v>
      </c>
      <c r="CR874" s="584" t="s">
        <v>3961</v>
      </c>
      <c r="CS874" s="584" t="s">
        <v>2583</v>
      </c>
      <c r="CT874" s="584" t="s">
        <v>2584</v>
      </c>
      <c r="CU874" s="584" t="s">
        <v>3080</v>
      </c>
      <c r="CV874" s="585" t="s">
        <v>3081</v>
      </c>
    </row>
    <row r="875" spans="91:100" ht="25.5" x14ac:dyDescent="0.25">
      <c r="CM875" s="582"/>
      <c r="CN875" s="584" t="s">
        <v>3962</v>
      </c>
      <c r="CO875" s="584" t="s">
        <v>1910</v>
      </c>
      <c r="CP875" s="584" t="s">
        <v>1888</v>
      </c>
      <c r="CQ875" s="584" t="s">
        <v>3963</v>
      </c>
      <c r="CR875" s="584" t="s">
        <v>3963</v>
      </c>
      <c r="CS875" s="584" t="s">
        <v>2583</v>
      </c>
      <c r="CT875" s="584" t="s">
        <v>2584</v>
      </c>
      <c r="CU875" s="584" t="s">
        <v>3080</v>
      </c>
      <c r="CV875" s="585" t="s">
        <v>3081</v>
      </c>
    </row>
    <row r="876" spans="91:100" ht="25.5" x14ac:dyDescent="0.25">
      <c r="CM876" s="582"/>
      <c r="CN876" s="584" t="s">
        <v>3964</v>
      </c>
      <c r="CO876" s="584" t="s">
        <v>1910</v>
      </c>
      <c r="CP876" s="584" t="s">
        <v>1888</v>
      </c>
      <c r="CQ876" s="584" t="s">
        <v>3965</v>
      </c>
      <c r="CR876" s="584" t="s">
        <v>3965</v>
      </c>
      <c r="CS876" s="584" t="s">
        <v>2583</v>
      </c>
      <c r="CT876" s="584" t="s">
        <v>2584</v>
      </c>
      <c r="CU876" s="584" t="s">
        <v>3080</v>
      </c>
      <c r="CV876" s="585" t="s">
        <v>3081</v>
      </c>
    </row>
    <row r="877" spans="91:100" ht="25.5" x14ac:dyDescent="0.25">
      <c r="CM877" s="582"/>
      <c r="CN877" s="584" t="s">
        <v>3966</v>
      </c>
      <c r="CO877" s="584" t="s">
        <v>1910</v>
      </c>
      <c r="CP877" s="584" t="s">
        <v>1888</v>
      </c>
      <c r="CQ877" s="584" t="s">
        <v>3967</v>
      </c>
      <c r="CR877" s="584" t="s">
        <v>3967</v>
      </c>
      <c r="CS877" s="584" t="s">
        <v>2583</v>
      </c>
      <c r="CT877" s="584" t="s">
        <v>2584</v>
      </c>
      <c r="CU877" s="584" t="s">
        <v>3080</v>
      </c>
      <c r="CV877" s="585" t="s">
        <v>3081</v>
      </c>
    </row>
    <row r="878" spans="91:100" ht="25.5" x14ac:dyDescent="0.25">
      <c r="CM878" s="582"/>
      <c r="CN878" s="584" t="s">
        <v>3968</v>
      </c>
      <c r="CO878" s="584" t="s">
        <v>1910</v>
      </c>
      <c r="CP878" s="584" t="s">
        <v>1888</v>
      </c>
      <c r="CQ878" s="584" t="s">
        <v>3969</v>
      </c>
      <c r="CR878" s="584" t="s">
        <v>3969</v>
      </c>
      <c r="CS878" s="584" t="s">
        <v>2583</v>
      </c>
      <c r="CT878" s="584" t="s">
        <v>2584</v>
      </c>
      <c r="CU878" s="584" t="s">
        <v>3080</v>
      </c>
      <c r="CV878" s="585" t="s">
        <v>3081</v>
      </c>
    </row>
    <row r="879" spans="91:100" ht="25.5" x14ac:dyDescent="0.25">
      <c r="CM879" s="582"/>
      <c r="CN879" s="584" t="s">
        <v>3970</v>
      </c>
      <c r="CO879" s="584" t="s">
        <v>1910</v>
      </c>
      <c r="CP879" s="584" t="s">
        <v>1888</v>
      </c>
      <c r="CQ879" s="584" t="s">
        <v>3971</v>
      </c>
      <c r="CR879" s="584" t="s">
        <v>3971</v>
      </c>
      <c r="CS879" s="584" t="s">
        <v>2583</v>
      </c>
      <c r="CT879" s="584" t="s">
        <v>2584</v>
      </c>
      <c r="CU879" s="584" t="s">
        <v>3080</v>
      </c>
      <c r="CV879" s="585" t="s">
        <v>3081</v>
      </c>
    </row>
    <row r="880" spans="91:100" ht="25.5" x14ac:dyDescent="0.25">
      <c r="CM880" s="582"/>
      <c r="CN880" s="584" t="s">
        <v>3972</v>
      </c>
      <c r="CO880" s="584" t="s">
        <v>1910</v>
      </c>
      <c r="CP880" s="584" t="s">
        <v>1888</v>
      </c>
      <c r="CQ880" s="584" t="s">
        <v>3973</v>
      </c>
      <c r="CR880" s="584" t="s">
        <v>3973</v>
      </c>
      <c r="CS880" s="584" t="s">
        <v>2583</v>
      </c>
      <c r="CT880" s="584" t="s">
        <v>2584</v>
      </c>
      <c r="CU880" s="584" t="s">
        <v>3080</v>
      </c>
      <c r="CV880" s="585" t="s">
        <v>3081</v>
      </c>
    </row>
    <row r="881" spans="91:100" ht="25.5" x14ac:dyDescent="0.25">
      <c r="CM881" s="582"/>
      <c r="CN881" s="584" t="s">
        <v>3974</v>
      </c>
      <c r="CO881" s="584" t="s">
        <v>1910</v>
      </c>
      <c r="CP881" s="584" t="s">
        <v>1888</v>
      </c>
      <c r="CQ881" s="584" t="s">
        <v>3975</v>
      </c>
      <c r="CR881" s="584" t="s">
        <v>3975</v>
      </c>
      <c r="CS881" s="584" t="s">
        <v>2583</v>
      </c>
      <c r="CT881" s="584" t="s">
        <v>2584</v>
      </c>
      <c r="CU881" s="584" t="s">
        <v>3080</v>
      </c>
      <c r="CV881" s="585" t="s">
        <v>3081</v>
      </c>
    </row>
    <row r="882" spans="91:100" ht="25.5" x14ac:dyDescent="0.25">
      <c r="CM882" s="582"/>
      <c r="CN882" s="584" t="s">
        <v>3976</v>
      </c>
      <c r="CO882" s="584" t="s">
        <v>1910</v>
      </c>
      <c r="CP882" s="584" t="s">
        <v>1888</v>
      </c>
      <c r="CQ882" s="584" t="s">
        <v>3977</v>
      </c>
      <c r="CR882" s="584" t="s">
        <v>3977</v>
      </c>
      <c r="CS882" s="584" t="s">
        <v>2583</v>
      </c>
      <c r="CT882" s="584" t="s">
        <v>2584</v>
      </c>
      <c r="CU882" s="584" t="s">
        <v>3080</v>
      </c>
      <c r="CV882" s="585" t="s">
        <v>3081</v>
      </c>
    </row>
    <row r="883" spans="91:100" ht="25.5" x14ac:dyDescent="0.25">
      <c r="CM883" s="582"/>
      <c r="CN883" s="584" t="s">
        <v>3978</v>
      </c>
      <c r="CO883" s="584" t="s">
        <v>1910</v>
      </c>
      <c r="CP883" s="584" t="s">
        <v>1888</v>
      </c>
      <c r="CQ883" s="584" t="s">
        <v>3979</v>
      </c>
      <c r="CR883" s="584" t="s">
        <v>3979</v>
      </c>
      <c r="CS883" s="584" t="s">
        <v>2583</v>
      </c>
      <c r="CT883" s="584" t="s">
        <v>2584</v>
      </c>
      <c r="CU883" s="584" t="s">
        <v>3080</v>
      </c>
      <c r="CV883" s="585" t="s">
        <v>3081</v>
      </c>
    </row>
    <row r="884" spans="91:100" ht="25.5" x14ac:dyDescent="0.25">
      <c r="CM884" s="582"/>
      <c r="CN884" s="584" t="s">
        <v>3980</v>
      </c>
      <c r="CO884" s="584" t="s">
        <v>1910</v>
      </c>
      <c r="CP884" s="584" t="s">
        <v>1888</v>
      </c>
      <c r="CQ884" s="584" t="s">
        <v>3981</v>
      </c>
      <c r="CR884" s="584" t="s">
        <v>3981</v>
      </c>
      <c r="CS884" s="584" t="s">
        <v>2583</v>
      </c>
      <c r="CT884" s="584" t="s">
        <v>2584</v>
      </c>
      <c r="CU884" s="584" t="s">
        <v>3080</v>
      </c>
      <c r="CV884" s="585" t="s">
        <v>3081</v>
      </c>
    </row>
    <row r="885" spans="91:100" ht="25.5" x14ac:dyDescent="0.25">
      <c r="CM885" s="582"/>
      <c r="CN885" s="584" t="s">
        <v>3982</v>
      </c>
      <c r="CO885" s="584" t="s">
        <v>1910</v>
      </c>
      <c r="CP885" s="584" t="s">
        <v>1888</v>
      </c>
      <c r="CQ885" s="584" t="s">
        <v>3983</v>
      </c>
      <c r="CR885" s="584" t="s">
        <v>3983</v>
      </c>
      <c r="CS885" s="584" t="s">
        <v>2583</v>
      </c>
      <c r="CT885" s="584" t="s">
        <v>2584</v>
      </c>
      <c r="CU885" s="584" t="s">
        <v>3080</v>
      </c>
      <c r="CV885" s="585" t="s">
        <v>3081</v>
      </c>
    </row>
    <row r="886" spans="91:100" ht="25.5" x14ac:dyDescent="0.25">
      <c r="CM886" s="582"/>
      <c r="CN886" s="584" t="s">
        <v>3984</v>
      </c>
      <c r="CO886" s="584" t="s">
        <v>1910</v>
      </c>
      <c r="CP886" s="584" t="s">
        <v>1888</v>
      </c>
      <c r="CQ886" s="584" t="s">
        <v>3985</v>
      </c>
      <c r="CR886" s="584" t="s">
        <v>3985</v>
      </c>
      <c r="CS886" s="584" t="s">
        <v>2583</v>
      </c>
      <c r="CT886" s="584" t="s">
        <v>2584</v>
      </c>
      <c r="CU886" s="584" t="s">
        <v>3080</v>
      </c>
      <c r="CV886" s="585" t="s">
        <v>3081</v>
      </c>
    </row>
    <row r="887" spans="91:100" x14ac:dyDescent="0.25">
      <c r="CM887" s="582"/>
      <c r="CN887" s="584" t="s">
        <v>3986</v>
      </c>
      <c r="CO887" s="584" t="s">
        <v>1910</v>
      </c>
      <c r="CP887" s="584" t="s">
        <v>1888</v>
      </c>
      <c r="CQ887" s="584" t="s">
        <v>3987</v>
      </c>
      <c r="CR887" s="584" t="s">
        <v>3987</v>
      </c>
      <c r="CS887" s="584" t="s">
        <v>1978</v>
      </c>
      <c r="CT887" s="584" t="s">
        <v>1979</v>
      </c>
      <c r="CU887" s="584" t="s">
        <v>1892</v>
      </c>
      <c r="CV887" s="585" t="s">
        <v>1980</v>
      </c>
    </row>
    <row r="888" spans="91:100" ht="25.5" x14ac:dyDescent="0.25">
      <c r="CM888" s="582"/>
      <c r="CN888" s="584" t="s">
        <v>3988</v>
      </c>
      <c r="CO888" s="584" t="s">
        <v>1910</v>
      </c>
      <c r="CP888" s="584" t="s">
        <v>1888</v>
      </c>
      <c r="CQ888" s="584" t="s">
        <v>3989</v>
      </c>
      <c r="CR888" s="584" t="s">
        <v>3989</v>
      </c>
      <c r="CS888" s="584" t="s">
        <v>2583</v>
      </c>
      <c r="CT888" s="584" t="s">
        <v>2584</v>
      </c>
      <c r="CU888" s="584" t="s">
        <v>3080</v>
      </c>
      <c r="CV888" s="585" t="s">
        <v>3081</v>
      </c>
    </row>
    <row r="889" spans="91:100" ht="25.5" x14ac:dyDescent="0.25">
      <c r="CM889" s="582"/>
      <c r="CN889" s="584" t="s">
        <v>3990</v>
      </c>
      <c r="CO889" s="584" t="s">
        <v>1910</v>
      </c>
      <c r="CP889" s="584" t="s">
        <v>1888</v>
      </c>
      <c r="CQ889" s="584" t="s">
        <v>3991</v>
      </c>
      <c r="CR889" s="584" t="s">
        <v>3991</v>
      </c>
      <c r="CS889" s="584" t="s">
        <v>2583</v>
      </c>
      <c r="CT889" s="584" t="s">
        <v>2584</v>
      </c>
      <c r="CU889" s="584" t="s">
        <v>3080</v>
      </c>
      <c r="CV889" s="585" t="s">
        <v>3081</v>
      </c>
    </row>
    <row r="890" spans="91:100" ht="25.5" x14ac:dyDescent="0.25">
      <c r="CM890" s="582"/>
      <c r="CN890" s="584" t="s">
        <v>3992</v>
      </c>
      <c r="CO890" s="584" t="s">
        <v>1910</v>
      </c>
      <c r="CP890" s="584" t="s">
        <v>1888</v>
      </c>
      <c r="CQ890" s="584" t="s">
        <v>3993</v>
      </c>
      <c r="CR890" s="584" t="s">
        <v>3993</v>
      </c>
      <c r="CS890" s="584" t="s">
        <v>2583</v>
      </c>
      <c r="CT890" s="584" t="s">
        <v>2584</v>
      </c>
      <c r="CU890" s="584" t="s">
        <v>3080</v>
      </c>
      <c r="CV890" s="585" t="s">
        <v>3081</v>
      </c>
    </row>
    <row r="891" spans="91:100" ht="25.5" x14ac:dyDescent="0.25">
      <c r="CM891" s="582"/>
      <c r="CN891" s="584" t="s">
        <v>3994</v>
      </c>
      <c r="CO891" s="584" t="s">
        <v>1910</v>
      </c>
      <c r="CP891" s="584" t="s">
        <v>1888</v>
      </c>
      <c r="CQ891" s="584" t="s">
        <v>3995</v>
      </c>
      <c r="CR891" s="584" t="s">
        <v>3995</v>
      </c>
      <c r="CS891" s="584" t="s">
        <v>2583</v>
      </c>
      <c r="CT891" s="584" t="s">
        <v>2584</v>
      </c>
      <c r="CU891" s="584" t="s">
        <v>3080</v>
      </c>
      <c r="CV891" s="585" t="s">
        <v>3081</v>
      </c>
    </row>
    <row r="892" spans="91:100" ht="25.5" x14ac:dyDescent="0.25">
      <c r="CM892" s="582"/>
      <c r="CN892" s="584" t="s">
        <v>3996</v>
      </c>
      <c r="CO892" s="584" t="s">
        <v>1910</v>
      </c>
      <c r="CP892" s="584" t="s">
        <v>1888</v>
      </c>
      <c r="CQ892" s="584" t="s">
        <v>3997</v>
      </c>
      <c r="CR892" s="584" t="s">
        <v>3997</v>
      </c>
      <c r="CS892" s="584" t="s">
        <v>2583</v>
      </c>
      <c r="CT892" s="584" t="s">
        <v>2584</v>
      </c>
      <c r="CU892" s="584" t="s">
        <v>3080</v>
      </c>
      <c r="CV892" s="585" t="s">
        <v>3081</v>
      </c>
    </row>
    <row r="893" spans="91:100" ht="25.5" x14ac:dyDescent="0.25">
      <c r="CM893" s="582"/>
      <c r="CN893" s="584" t="s">
        <v>3998</v>
      </c>
      <c r="CO893" s="584" t="s">
        <v>1910</v>
      </c>
      <c r="CP893" s="584" t="s">
        <v>1888</v>
      </c>
      <c r="CQ893" s="584" t="s">
        <v>3999</v>
      </c>
      <c r="CR893" s="584" t="s">
        <v>3999</v>
      </c>
      <c r="CS893" s="584" t="s">
        <v>2583</v>
      </c>
      <c r="CT893" s="584" t="s">
        <v>2584</v>
      </c>
      <c r="CU893" s="584" t="s">
        <v>3080</v>
      </c>
      <c r="CV893" s="585" t="s">
        <v>3081</v>
      </c>
    </row>
    <row r="894" spans="91:100" ht="25.5" x14ac:dyDescent="0.25">
      <c r="CM894" s="582"/>
      <c r="CN894" s="584" t="s">
        <v>4000</v>
      </c>
      <c r="CO894" s="584" t="s">
        <v>1910</v>
      </c>
      <c r="CP894" s="584" t="s">
        <v>1888</v>
      </c>
      <c r="CQ894" s="584" t="s">
        <v>4001</v>
      </c>
      <c r="CR894" s="584" t="s">
        <v>4001</v>
      </c>
      <c r="CS894" s="584" t="s">
        <v>2583</v>
      </c>
      <c r="CT894" s="584" t="s">
        <v>2584</v>
      </c>
      <c r="CU894" s="584" t="s">
        <v>3080</v>
      </c>
      <c r="CV894" s="585" t="s">
        <v>3081</v>
      </c>
    </row>
    <row r="895" spans="91:100" ht="25.5" x14ac:dyDescent="0.25">
      <c r="CM895" s="582"/>
      <c r="CN895" s="584" t="s">
        <v>4002</v>
      </c>
      <c r="CO895" s="584" t="s">
        <v>1910</v>
      </c>
      <c r="CP895" s="584" t="s">
        <v>1888</v>
      </c>
      <c r="CQ895" s="584" t="s">
        <v>4003</v>
      </c>
      <c r="CR895" s="584" t="s">
        <v>4003</v>
      </c>
      <c r="CS895" s="584" t="s">
        <v>2583</v>
      </c>
      <c r="CT895" s="584" t="s">
        <v>2584</v>
      </c>
      <c r="CU895" s="584" t="s">
        <v>3080</v>
      </c>
      <c r="CV895" s="585" t="s">
        <v>3081</v>
      </c>
    </row>
    <row r="896" spans="91:100" ht="25.5" x14ac:dyDescent="0.25">
      <c r="CM896" s="582"/>
      <c r="CN896" s="584" t="s">
        <v>4004</v>
      </c>
      <c r="CO896" s="584" t="s">
        <v>1910</v>
      </c>
      <c r="CP896" s="584" t="s">
        <v>1888</v>
      </c>
      <c r="CQ896" s="584" t="s">
        <v>4005</v>
      </c>
      <c r="CR896" s="584" t="s">
        <v>4005</v>
      </c>
      <c r="CS896" s="584" t="s">
        <v>2583</v>
      </c>
      <c r="CT896" s="584" t="s">
        <v>2584</v>
      </c>
      <c r="CU896" s="584" t="s">
        <v>3080</v>
      </c>
      <c r="CV896" s="585" t="s">
        <v>3081</v>
      </c>
    </row>
    <row r="897" spans="91:100" ht="25.5" x14ac:dyDescent="0.25">
      <c r="CM897" s="582"/>
      <c r="CN897" s="584" t="s">
        <v>4006</v>
      </c>
      <c r="CO897" s="584" t="s">
        <v>1910</v>
      </c>
      <c r="CP897" s="584" t="s">
        <v>1888</v>
      </c>
      <c r="CQ897" s="584" t="s">
        <v>4007</v>
      </c>
      <c r="CR897" s="584" t="s">
        <v>4007</v>
      </c>
      <c r="CS897" s="584" t="s">
        <v>2583</v>
      </c>
      <c r="CT897" s="584" t="s">
        <v>2584</v>
      </c>
      <c r="CU897" s="584" t="s">
        <v>3080</v>
      </c>
      <c r="CV897" s="585" t="s">
        <v>3081</v>
      </c>
    </row>
    <row r="898" spans="91:100" ht="25.5" x14ac:dyDescent="0.25">
      <c r="CM898" s="582"/>
      <c r="CN898" s="584" t="s">
        <v>4008</v>
      </c>
      <c r="CO898" s="584" t="s">
        <v>1910</v>
      </c>
      <c r="CP898" s="584" t="s">
        <v>1888</v>
      </c>
      <c r="CQ898" s="584" t="s">
        <v>4009</v>
      </c>
      <c r="CR898" s="584" t="s">
        <v>4009</v>
      </c>
      <c r="CS898" s="584" t="s">
        <v>2583</v>
      </c>
      <c r="CT898" s="584" t="s">
        <v>2584</v>
      </c>
      <c r="CU898" s="584" t="s">
        <v>3080</v>
      </c>
      <c r="CV898" s="585" t="s">
        <v>3081</v>
      </c>
    </row>
    <row r="899" spans="91:100" ht="25.5" x14ac:dyDescent="0.25">
      <c r="CM899" s="582"/>
      <c r="CN899" s="584" t="s">
        <v>4010</v>
      </c>
      <c r="CO899" s="584" t="s">
        <v>1910</v>
      </c>
      <c r="CP899" s="584" t="s">
        <v>1888</v>
      </c>
      <c r="CQ899" s="584" t="s">
        <v>4011</v>
      </c>
      <c r="CR899" s="584" t="s">
        <v>4011</v>
      </c>
      <c r="CS899" s="584" t="s">
        <v>2583</v>
      </c>
      <c r="CT899" s="584" t="s">
        <v>2584</v>
      </c>
      <c r="CU899" s="584" t="s">
        <v>3080</v>
      </c>
      <c r="CV899" s="585" t="s">
        <v>3081</v>
      </c>
    </row>
    <row r="900" spans="91:100" ht="25.5" x14ac:dyDescent="0.25">
      <c r="CM900" s="582"/>
      <c r="CN900" s="584" t="s">
        <v>4012</v>
      </c>
      <c r="CO900" s="584" t="s">
        <v>1910</v>
      </c>
      <c r="CP900" s="584" t="s">
        <v>1888</v>
      </c>
      <c r="CQ900" s="584" t="s">
        <v>4013</v>
      </c>
      <c r="CR900" s="584" t="s">
        <v>4013</v>
      </c>
      <c r="CS900" s="584" t="s">
        <v>2583</v>
      </c>
      <c r="CT900" s="584" t="s">
        <v>2584</v>
      </c>
      <c r="CU900" s="584" t="s">
        <v>3080</v>
      </c>
      <c r="CV900" s="585" t="s">
        <v>3081</v>
      </c>
    </row>
    <row r="901" spans="91:100" ht="25.5" x14ac:dyDescent="0.25">
      <c r="CM901" s="582"/>
      <c r="CN901" s="584" t="s">
        <v>4014</v>
      </c>
      <c r="CO901" s="584" t="s">
        <v>1910</v>
      </c>
      <c r="CP901" s="584" t="s">
        <v>1888</v>
      </c>
      <c r="CQ901" s="584" t="s">
        <v>4015</v>
      </c>
      <c r="CR901" s="584" t="s">
        <v>4015</v>
      </c>
      <c r="CS901" s="584" t="s">
        <v>2583</v>
      </c>
      <c r="CT901" s="584" t="s">
        <v>2584</v>
      </c>
      <c r="CU901" s="584" t="s">
        <v>3080</v>
      </c>
      <c r="CV901" s="585" t="s">
        <v>3081</v>
      </c>
    </row>
    <row r="902" spans="91:100" ht="25.5" x14ac:dyDescent="0.25">
      <c r="CM902" s="582"/>
      <c r="CN902" s="584" t="s">
        <v>4016</v>
      </c>
      <c r="CO902" s="584" t="s">
        <v>1910</v>
      </c>
      <c r="CP902" s="584" t="s">
        <v>1888</v>
      </c>
      <c r="CQ902" s="584" t="s">
        <v>4017</v>
      </c>
      <c r="CR902" s="584" t="s">
        <v>4017</v>
      </c>
      <c r="CS902" s="584" t="s">
        <v>2583</v>
      </c>
      <c r="CT902" s="584" t="s">
        <v>2584</v>
      </c>
      <c r="CU902" s="584" t="s">
        <v>3080</v>
      </c>
      <c r="CV902" s="585" t="s">
        <v>3081</v>
      </c>
    </row>
    <row r="903" spans="91:100" ht="25.5" x14ac:dyDescent="0.25">
      <c r="CM903" s="582"/>
      <c r="CN903" s="584" t="s">
        <v>4018</v>
      </c>
      <c r="CO903" s="584" t="s">
        <v>1910</v>
      </c>
      <c r="CP903" s="584" t="s">
        <v>1888</v>
      </c>
      <c r="CQ903" s="584" t="s">
        <v>4019</v>
      </c>
      <c r="CR903" s="584" t="s">
        <v>4019</v>
      </c>
      <c r="CS903" s="584" t="s">
        <v>2583</v>
      </c>
      <c r="CT903" s="584" t="s">
        <v>2584</v>
      </c>
      <c r="CU903" s="584" t="s">
        <v>3080</v>
      </c>
      <c r="CV903" s="585" t="s">
        <v>3081</v>
      </c>
    </row>
    <row r="904" spans="91:100" ht="25.5" x14ac:dyDescent="0.25">
      <c r="CM904" s="582"/>
      <c r="CN904" s="584" t="s">
        <v>4020</v>
      </c>
      <c r="CO904" s="584" t="s">
        <v>1910</v>
      </c>
      <c r="CP904" s="584" t="s">
        <v>1888</v>
      </c>
      <c r="CQ904" s="584" t="s">
        <v>4021</v>
      </c>
      <c r="CR904" s="584" t="s">
        <v>4021</v>
      </c>
      <c r="CS904" s="584" t="s">
        <v>2583</v>
      </c>
      <c r="CT904" s="584" t="s">
        <v>2584</v>
      </c>
      <c r="CU904" s="584" t="s">
        <v>3080</v>
      </c>
      <c r="CV904" s="585" t="s">
        <v>3081</v>
      </c>
    </row>
    <row r="905" spans="91:100" ht="25.5" x14ac:dyDescent="0.25">
      <c r="CM905" s="582"/>
      <c r="CN905" s="584" t="s">
        <v>4022</v>
      </c>
      <c r="CO905" s="584" t="s">
        <v>1910</v>
      </c>
      <c r="CP905" s="584" t="s">
        <v>1888</v>
      </c>
      <c r="CQ905" s="584" t="s">
        <v>4023</v>
      </c>
      <c r="CR905" s="584" t="s">
        <v>4023</v>
      </c>
      <c r="CS905" s="584" t="s">
        <v>2583</v>
      </c>
      <c r="CT905" s="584" t="s">
        <v>2584</v>
      </c>
      <c r="CU905" s="584" t="s">
        <v>3080</v>
      </c>
      <c r="CV905" s="585" t="s">
        <v>3081</v>
      </c>
    </row>
    <row r="906" spans="91:100" ht="25.5" x14ac:dyDescent="0.25">
      <c r="CM906" s="582"/>
      <c r="CN906" s="584" t="s">
        <v>4024</v>
      </c>
      <c r="CO906" s="584" t="s">
        <v>1910</v>
      </c>
      <c r="CP906" s="584" t="s">
        <v>1888</v>
      </c>
      <c r="CQ906" s="584" t="s">
        <v>4025</v>
      </c>
      <c r="CR906" s="584" t="s">
        <v>4025</v>
      </c>
      <c r="CS906" s="584" t="s">
        <v>2583</v>
      </c>
      <c r="CT906" s="584" t="s">
        <v>2584</v>
      </c>
      <c r="CU906" s="584" t="s">
        <v>3080</v>
      </c>
      <c r="CV906" s="585" t="s">
        <v>3081</v>
      </c>
    </row>
    <row r="907" spans="91:100" ht="25.5" x14ac:dyDescent="0.25">
      <c r="CM907" s="582"/>
      <c r="CN907" s="584" t="s">
        <v>4026</v>
      </c>
      <c r="CO907" s="584" t="s">
        <v>1910</v>
      </c>
      <c r="CP907" s="584" t="s">
        <v>1888</v>
      </c>
      <c r="CQ907" s="584" t="s">
        <v>4027</v>
      </c>
      <c r="CR907" s="584" t="s">
        <v>4027</v>
      </c>
      <c r="CS907" s="584" t="s">
        <v>2583</v>
      </c>
      <c r="CT907" s="584" t="s">
        <v>2584</v>
      </c>
      <c r="CU907" s="584" t="s">
        <v>3080</v>
      </c>
      <c r="CV907" s="585" t="s">
        <v>3081</v>
      </c>
    </row>
    <row r="908" spans="91:100" ht="25.5" x14ac:dyDescent="0.25">
      <c r="CM908" s="582"/>
      <c r="CN908" s="584" t="s">
        <v>4028</v>
      </c>
      <c r="CO908" s="584" t="s">
        <v>1910</v>
      </c>
      <c r="CP908" s="584" t="s">
        <v>1888</v>
      </c>
      <c r="CQ908" s="584" t="s">
        <v>4029</v>
      </c>
      <c r="CR908" s="584" t="s">
        <v>4029</v>
      </c>
      <c r="CS908" s="584" t="s">
        <v>2583</v>
      </c>
      <c r="CT908" s="584" t="s">
        <v>2584</v>
      </c>
      <c r="CU908" s="584" t="s">
        <v>3080</v>
      </c>
      <c r="CV908" s="585" t="s">
        <v>3081</v>
      </c>
    </row>
    <row r="909" spans="91:100" ht="25.5" x14ac:dyDescent="0.25">
      <c r="CM909" s="582"/>
      <c r="CN909" s="584" t="s">
        <v>4030</v>
      </c>
      <c r="CO909" s="584" t="s">
        <v>1910</v>
      </c>
      <c r="CP909" s="584" t="s">
        <v>1888</v>
      </c>
      <c r="CQ909" s="584" t="s">
        <v>4031</v>
      </c>
      <c r="CR909" s="584" t="s">
        <v>4031</v>
      </c>
      <c r="CS909" s="584" t="s">
        <v>2583</v>
      </c>
      <c r="CT909" s="584" t="s">
        <v>2584</v>
      </c>
      <c r="CU909" s="584" t="s">
        <v>3080</v>
      </c>
      <c r="CV909" s="585" t="s">
        <v>3081</v>
      </c>
    </row>
    <row r="910" spans="91:100" ht="25.5" x14ac:dyDescent="0.25">
      <c r="CM910" s="582"/>
      <c r="CN910" s="584" t="s">
        <v>4032</v>
      </c>
      <c r="CO910" s="584" t="s">
        <v>1910</v>
      </c>
      <c r="CP910" s="584" t="s">
        <v>1888</v>
      </c>
      <c r="CQ910" s="584" t="s">
        <v>4033</v>
      </c>
      <c r="CR910" s="584" t="s">
        <v>4033</v>
      </c>
      <c r="CS910" s="584" t="s">
        <v>2583</v>
      </c>
      <c r="CT910" s="584" t="s">
        <v>2584</v>
      </c>
      <c r="CU910" s="584" t="s">
        <v>3080</v>
      </c>
      <c r="CV910" s="585" t="s">
        <v>3081</v>
      </c>
    </row>
    <row r="911" spans="91:100" ht="25.5" x14ac:dyDescent="0.25">
      <c r="CM911" s="582"/>
      <c r="CN911" s="584" t="s">
        <v>4034</v>
      </c>
      <c r="CO911" s="584" t="s">
        <v>1910</v>
      </c>
      <c r="CP911" s="584" t="s">
        <v>1888</v>
      </c>
      <c r="CQ911" s="584" t="s">
        <v>4035</v>
      </c>
      <c r="CR911" s="584" t="s">
        <v>4035</v>
      </c>
      <c r="CS911" s="584" t="s">
        <v>2583</v>
      </c>
      <c r="CT911" s="584" t="s">
        <v>2584</v>
      </c>
      <c r="CU911" s="584" t="s">
        <v>3080</v>
      </c>
      <c r="CV911" s="585" t="s">
        <v>3081</v>
      </c>
    </row>
    <row r="912" spans="91:100" ht="25.5" x14ac:dyDescent="0.25">
      <c r="CM912" s="582"/>
      <c r="CN912" s="584" t="s">
        <v>4036</v>
      </c>
      <c r="CO912" s="584" t="s">
        <v>1910</v>
      </c>
      <c r="CP912" s="584" t="s">
        <v>1888</v>
      </c>
      <c r="CQ912" s="584" t="s">
        <v>4037</v>
      </c>
      <c r="CR912" s="584" t="s">
        <v>4037</v>
      </c>
      <c r="CS912" s="584" t="s">
        <v>2583</v>
      </c>
      <c r="CT912" s="584" t="s">
        <v>2584</v>
      </c>
      <c r="CU912" s="584" t="s">
        <v>3080</v>
      </c>
      <c r="CV912" s="585" t="s">
        <v>3081</v>
      </c>
    </row>
    <row r="913" spans="91:100" x14ac:dyDescent="0.25">
      <c r="CM913" s="582"/>
      <c r="CN913" s="584" t="s">
        <v>4038</v>
      </c>
      <c r="CO913" s="584" t="s">
        <v>1910</v>
      </c>
      <c r="CP913" s="584" t="s">
        <v>1888</v>
      </c>
      <c r="CQ913" s="584" t="s">
        <v>4039</v>
      </c>
      <c r="CR913" s="584" t="s">
        <v>4039</v>
      </c>
      <c r="CS913" s="584" t="s">
        <v>1890</v>
      </c>
      <c r="CT913" s="584" t="s">
        <v>3163</v>
      </c>
      <c r="CU913" s="584" t="s">
        <v>1892</v>
      </c>
      <c r="CV913" s="585" t="s">
        <v>1893</v>
      </c>
    </row>
    <row r="914" spans="91:100" ht="25.5" x14ac:dyDescent="0.25">
      <c r="CM914" s="582"/>
      <c r="CN914" s="584" t="s">
        <v>4040</v>
      </c>
      <c r="CO914" s="584" t="s">
        <v>1910</v>
      </c>
      <c r="CP914" s="584" t="s">
        <v>1888</v>
      </c>
      <c r="CQ914" s="584" t="s">
        <v>4041</v>
      </c>
      <c r="CR914" s="584" t="s">
        <v>4041</v>
      </c>
      <c r="CS914" s="584" t="s">
        <v>2583</v>
      </c>
      <c r="CT914" s="584" t="s">
        <v>2584</v>
      </c>
      <c r="CU914" s="584" t="s">
        <v>3080</v>
      </c>
      <c r="CV914" s="585" t="s">
        <v>3081</v>
      </c>
    </row>
    <row r="915" spans="91:100" ht="25.5" x14ac:dyDescent="0.25">
      <c r="CM915" s="582"/>
      <c r="CN915" s="584" t="s">
        <v>4042</v>
      </c>
      <c r="CO915" s="584" t="s">
        <v>1910</v>
      </c>
      <c r="CP915" s="584" t="s">
        <v>1888</v>
      </c>
      <c r="CQ915" s="584" t="s">
        <v>4043</v>
      </c>
      <c r="CR915" s="584" t="s">
        <v>4043</v>
      </c>
      <c r="CS915" s="584" t="s">
        <v>2583</v>
      </c>
      <c r="CT915" s="584" t="s">
        <v>2584</v>
      </c>
      <c r="CU915" s="584" t="s">
        <v>3080</v>
      </c>
      <c r="CV915" s="585" t="s">
        <v>3081</v>
      </c>
    </row>
    <row r="916" spans="91:100" ht="25.5" x14ac:dyDescent="0.25">
      <c r="CM916" s="582"/>
      <c r="CN916" s="584" t="s">
        <v>4044</v>
      </c>
      <c r="CO916" s="584" t="s">
        <v>1910</v>
      </c>
      <c r="CP916" s="584" t="s">
        <v>1888</v>
      </c>
      <c r="CQ916" s="584" t="s">
        <v>4045</v>
      </c>
      <c r="CR916" s="584" t="s">
        <v>4045</v>
      </c>
      <c r="CS916" s="584" t="s">
        <v>2583</v>
      </c>
      <c r="CT916" s="584" t="s">
        <v>2584</v>
      </c>
      <c r="CU916" s="584" t="s">
        <v>3080</v>
      </c>
      <c r="CV916" s="585" t="s">
        <v>3081</v>
      </c>
    </row>
    <row r="917" spans="91:100" ht="25.5" x14ac:dyDescent="0.25">
      <c r="CM917" s="582"/>
      <c r="CN917" s="584" t="s">
        <v>4046</v>
      </c>
      <c r="CO917" s="584" t="s">
        <v>1910</v>
      </c>
      <c r="CP917" s="584" t="s">
        <v>1888</v>
      </c>
      <c r="CQ917" s="584" t="s">
        <v>4047</v>
      </c>
      <c r="CR917" s="584" t="s">
        <v>4047</v>
      </c>
      <c r="CS917" s="584" t="s">
        <v>2583</v>
      </c>
      <c r="CT917" s="584" t="s">
        <v>2584</v>
      </c>
      <c r="CU917" s="584" t="s">
        <v>3080</v>
      </c>
      <c r="CV917" s="585" t="s">
        <v>3081</v>
      </c>
    </row>
    <row r="918" spans="91:100" ht="25.5" x14ac:dyDescent="0.25">
      <c r="CM918" s="582"/>
      <c r="CN918" s="584" t="s">
        <v>4048</v>
      </c>
      <c r="CO918" s="584" t="s">
        <v>1910</v>
      </c>
      <c r="CP918" s="584" t="s">
        <v>1888</v>
      </c>
      <c r="CQ918" s="584" t="s">
        <v>4049</v>
      </c>
      <c r="CR918" s="584" t="s">
        <v>4049</v>
      </c>
      <c r="CS918" s="584" t="s">
        <v>2583</v>
      </c>
      <c r="CT918" s="584" t="s">
        <v>2584</v>
      </c>
      <c r="CU918" s="584" t="s">
        <v>3080</v>
      </c>
      <c r="CV918" s="585" t="s">
        <v>3081</v>
      </c>
    </row>
    <row r="919" spans="91:100" ht="25.5" x14ac:dyDescent="0.25">
      <c r="CM919" s="582"/>
      <c r="CN919" s="584" t="s">
        <v>4050</v>
      </c>
      <c r="CO919" s="584" t="s">
        <v>1910</v>
      </c>
      <c r="CP919" s="584" t="s">
        <v>1888</v>
      </c>
      <c r="CQ919" s="584" t="s">
        <v>4051</v>
      </c>
      <c r="CR919" s="584" t="s">
        <v>4051</v>
      </c>
      <c r="CS919" s="584" t="s">
        <v>2583</v>
      </c>
      <c r="CT919" s="584" t="s">
        <v>2584</v>
      </c>
      <c r="CU919" s="584" t="s">
        <v>3080</v>
      </c>
      <c r="CV919" s="585" t="s">
        <v>3081</v>
      </c>
    </row>
    <row r="920" spans="91:100" ht="25.5" x14ac:dyDescent="0.25">
      <c r="CM920" s="582"/>
      <c r="CN920" s="584" t="s">
        <v>4052</v>
      </c>
      <c r="CO920" s="584" t="s">
        <v>1910</v>
      </c>
      <c r="CP920" s="584" t="s">
        <v>1888</v>
      </c>
      <c r="CQ920" s="584" t="s">
        <v>4053</v>
      </c>
      <c r="CR920" s="584" t="s">
        <v>4053</v>
      </c>
      <c r="CS920" s="584" t="s">
        <v>2583</v>
      </c>
      <c r="CT920" s="584" t="s">
        <v>2584</v>
      </c>
      <c r="CU920" s="584" t="s">
        <v>3080</v>
      </c>
      <c r="CV920" s="585" t="s">
        <v>3081</v>
      </c>
    </row>
    <row r="921" spans="91:100" ht="25.5" x14ac:dyDescent="0.25">
      <c r="CM921" s="582"/>
      <c r="CN921" s="584" t="s">
        <v>4054</v>
      </c>
      <c r="CO921" s="584" t="s">
        <v>1910</v>
      </c>
      <c r="CP921" s="584" t="s">
        <v>1888</v>
      </c>
      <c r="CQ921" s="584" t="s">
        <v>4055</v>
      </c>
      <c r="CR921" s="584" t="s">
        <v>4055</v>
      </c>
      <c r="CS921" s="584" t="s">
        <v>2583</v>
      </c>
      <c r="CT921" s="584" t="s">
        <v>2584</v>
      </c>
      <c r="CU921" s="584" t="s">
        <v>3080</v>
      </c>
      <c r="CV921" s="585" t="s">
        <v>3081</v>
      </c>
    </row>
    <row r="922" spans="91:100" ht="25.5" x14ac:dyDescent="0.25">
      <c r="CM922" s="582"/>
      <c r="CN922" s="584" t="s">
        <v>4056</v>
      </c>
      <c r="CO922" s="584" t="s">
        <v>1910</v>
      </c>
      <c r="CP922" s="584" t="s">
        <v>1888</v>
      </c>
      <c r="CQ922" s="584" t="s">
        <v>4057</v>
      </c>
      <c r="CR922" s="584" t="s">
        <v>4057</v>
      </c>
      <c r="CS922" s="584" t="s">
        <v>2583</v>
      </c>
      <c r="CT922" s="584" t="s">
        <v>2584</v>
      </c>
      <c r="CU922" s="584" t="s">
        <v>3080</v>
      </c>
      <c r="CV922" s="585" t="s">
        <v>3081</v>
      </c>
    </row>
    <row r="923" spans="91:100" ht="25.5" x14ac:dyDescent="0.25">
      <c r="CM923" s="582"/>
      <c r="CN923" s="584" t="s">
        <v>4058</v>
      </c>
      <c r="CO923" s="584" t="s">
        <v>1910</v>
      </c>
      <c r="CP923" s="584" t="s">
        <v>1888</v>
      </c>
      <c r="CQ923" s="584" t="s">
        <v>4059</v>
      </c>
      <c r="CR923" s="584" t="s">
        <v>4059</v>
      </c>
      <c r="CS923" s="584" t="s">
        <v>2583</v>
      </c>
      <c r="CT923" s="584" t="s">
        <v>2584</v>
      </c>
      <c r="CU923" s="584" t="s">
        <v>3080</v>
      </c>
      <c r="CV923" s="585" t="s">
        <v>3081</v>
      </c>
    </row>
    <row r="924" spans="91:100" ht="25.5" x14ac:dyDescent="0.25">
      <c r="CM924" s="582"/>
      <c r="CN924" s="584" t="s">
        <v>4060</v>
      </c>
      <c r="CO924" s="584" t="s">
        <v>1910</v>
      </c>
      <c r="CP924" s="584" t="s">
        <v>1888</v>
      </c>
      <c r="CQ924" s="584" t="s">
        <v>4061</v>
      </c>
      <c r="CR924" s="584" t="s">
        <v>4061</v>
      </c>
      <c r="CS924" s="584" t="s">
        <v>2583</v>
      </c>
      <c r="CT924" s="584" t="s">
        <v>2584</v>
      </c>
      <c r="CU924" s="584" t="s">
        <v>3080</v>
      </c>
      <c r="CV924" s="585" t="s">
        <v>3081</v>
      </c>
    </row>
    <row r="925" spans="91:100" ht="25.5" x14ac:dyDescent="0.25">
      <c r="CM925" s="582"/>
      <c r="CN925" s="584" t="s">
        <v>4062</v>
      </c>
      <c r="CO925" s="584" t="s">
        <v>1910</v>
      </c>
      <c r="CP925" s="584" t="s">
        <v>1888</v>
      </c>
      <c r="CQ925" s="584" t="s">
        <v>4063</v>
      </c>
      <c r="CR925" s="584" t="s">
        <v>4063</v>
      </c>
      <c r="CS925" s="584" t="s">
        <v>2583</v>
      </c>
      <c r="CT925" s="584" t="s">
        <v>2584</v>
      </c>
      <c r="CU925" s="584" t="s">
        <v>3080</v>
      </c>
      <c r="CV925" s="585" t="s">
        <v>3081</v>
      </c>
    </row>
    <row r="926" spans="91:100" ht="25.5" x14ac:dyDescent="0.25">
      <c r="CM926" s="582"/>
      <c r="CN926" s="584" t="s">
        <v>4064</v>
      </c>
      <c r="CO926" s="584" t="s">
        <v>1910</v>
      </c>
      <c r="CP926" s="584" t="s">
        <v>1888</v>
      </c>
      <c r="CQ926" s="584" t="s">
        <v>4065</v>
      </c>
      <c r="CR926" s="584" t="s">
        <v>4065</v>
      </c>
      <c r="CS926" s="584" t="s">
        <v>2583</v>
      </c>
      <c r="CT926" s="584" t="s">
        <v>2584</v>
      </c>
      <c r="CU926" s="584" t="s">
        <v>3080</v>
      </c>
      <c r="CV926" s="585" t="s">
        <v>3081</v>
      </c>
    </row>
    <row r="927" spans="91:100" ht="25.5" x14ac:dyDescent="0.25">
      <c r="CM927" s="582"/>
      <c r="CN927" s="584" t="s">
        <v>4066</v>
      </c>
      <c r="CO927" s="584" t="s">
        <v>1910</v>
      </c>
      <c r="CP927" s="584" t="s">
        <v>1888</v>
      </c>
      <c r="CQ927" s="584" t="s">
        <v>4067</v>
      </c>
      <c r="CR927" s="584" t="s">
        <v>4067</v>
      </c>
      <c r="CS927" s="584" t="s">
        <v>2583</v>
      </c>
      <c r="CT927" s="584" t="s">
        <v>2584</v>
      </c>
      <c r="CU927" s="584" t="s">
        <v>3080</v>
      </c>
      <c r="CV927" s="585" t="s">
        <v>3081</v>
      </c>
    </row>
    <row r="928" spans="91:100" ht="25.5" x14ac:dyDescent="0.25">
      <c r="CM928" s="582"/>
      <c r="CN928" s="584" t="s">
        <v>4068</v>
      </c>
      <c r="CO928" s="584" t="s">
        <v>1910</v>
      </c>
      <c r="CP928" s="584" t="s">
        <v>1888</v>
      </c>
      <c r="CQ928" s="584" t="s">
        <v>4069</v>
      </c>
      <c r="CR928" s="584" t="s">
        <v>4069</v>
      </c>
      <c r="CS928" s="584" t="s">
        <v>2583</v>
      </c>
      <c r="CT928" s="584" t="s">
        <v>2584</v>
      </c>
      <c r="CU928" s="584" t="s">
        <v>3080</v>
      </c>
      <c r="CV928" s="585" t="s">
        <v>3081</v>
      </c>
    </row>
    <row r="929" spans="91:100" ht="25.5" x14ac:dyDescent="0.25">
      <c r="CM929" s="582"/>
      <c r="CN929" s="584" t="s">
        <v>4070</v>
      </c>
      <c r="CO929" s="584" t="s">
        <v>1910</v>
      </c>
      <c r="CP929" s="584" t="s">
        <v>1888</v>
      </c>
      <c r="CQ929" s="584" t="s">
        <v>4071</v>
      </c>
      <c r="CR929" s="584" t="s">
        <v>4071</v>
      </c>
      <c r="CS929" s="584" t="s">
        <v>2583</v>
      </c>
      <c r="CT929" s="584" t="s">
        <v>2584</v>
      </c>
      <c r="CU929" s="584" t="s">
        <v>3080</v>
      </c>
      <c r="CV929" s="585" t="s">
        <v>3081</v>
      </c>
    </row>
    <row r="930" spans="91:100" ht="25.5" x14ac:dyDescent="0.25">
      <c r="CM930" s="582"/>
      <c r="CN930" s="584" t="s">
        <v>4072</v>
      </c>
      <c r="CO930" s="584" t="s">
        <v>1910</v>
      </c>
      <c r="CP930" s="584" t="s">
        <v>1888</v>
      </c>
      <c r="CQ930" s="584" t="s">
        <v>4073</v>
      </c>
      <c r="CR930" s="584" t="s">
        <v>4073</v>
      </c>
      <c r="CS930" s="584" t="s">
        <v>2583</v>
      </c>
      <c r="CT930" s="584" t="s">
        <v>2584</v>
      </c>
      <c r="CU930" s="584" t="s">
        <v>3080</v>
      </c>
      <c r="CV930" s="585" t="s">
        <v>3081</v>
      </c>
    </row>
    <row r="931" spans="91:100" ht="25.5" x14ac:dyDescent="0.25">
      <c r="CM931" s="582"/>
      <c r="CN931" s="584" t="s">
        <v>4074</v>
      </c>
      <c r="CO931" s="584" t="s">
        <v>1910</v>
      </c>
      <c r="CP931" s="584" t="s">
        <v>1888</v>
      </c>
      <c r="CQ931" s="584" t="s">
        <v>4075</v>
      </c>
      <c r="CR931" s="584" t="s">
        <v>4075</v>
      </c>
      <c r="CS931" s="584" t="s">
        <v>2583</v>
      </c>
      <c r="CT931" s="584" t="s">
        <v>2584</v>
      </c>
      <c r="CU931" s="584" t="s">
        <v>3080</v>
      </c>
      <c r="CV931" s="585" t="s">
        <v>3081</v>
      </c>
    </row>
    <row r="932" spans="91:100" ht="25.5" x14ac:dyDescent="0.25">
      <c r="CM932" s="582"/>
      <c r="CN932" s="584" t="s">
        <v>4076</v>
      </c>
      <c r="CO932" s="584" t="s">
        <v>1910</v>
      </c>
      <c r="CP932" s="584" t="s">
        <v>1888</v>
      </c>
      <c r="CQ932" s="584" t="s">
        <v>4077</v>
      </c>
      <c r="CR932" s="584" t="s">
        <v>4077</v>
      </c>
      <c r="CS932" s="584" t="s">
        <v>2583</v>
      </c>
      <c r="CT932" s="584" t="s">
        <v>2584</v>
      </c>
      <c r="CU932" s="584" t="s">
        <v>3080</v>
      </c>
      <c r="CV932" s="585" t="s">
        <v>3081</v>
      </c>
    </row>
    <row r="933" spans="91:100" ht="25.5" x14ac:dyDescent="0.25">
      <c r="CM933" s="582"/>
      <c r="CN933" s="584" t="s">
        <v>4078</v>
      </c>
      <c r="CO933" s="584" t="s">
        <v>1910</v>
      </c>
      <c r="CP933" s="584" t="s">
        <v>1888</v>
      </c>
      <c r="CQ933" s="584" t="s">
        <v>4079</v>
      </c>
      <c r="CR933" s="584" t="s">
        <v>4079</v>
      </c>
      <c r="CS933" s="584" t="s">
        <v>2583</v>
      </c>
      <c r="CT933" s="584" t="s">
        <v>2584</v>
      </c>
      <c r="CU933" s="584" t="s">
        <v>3080</v>
      </c>
      <c r="CV933" s="585" t="s">
        <v>3081</v>
      </c>
    </row>
    <row r="934" spans="91:100" ht="25.5" x14ac:dyDescent="0.25">
      <c r="CM934" s="582"/>
      <c r="CN934" s="584" t="s">
        <v>4080</v>
      </c>
      <c r="CO934" s="584" t="s">
        <v>1910</v>
      </c>
      <c r="CP934" s="584" t="s">
        <v>1888</v>
      </c>
      <c r="CQ934" s="584" t="s">
        <v>4081</v>
      </c>
      <c r="CR934" s="584" t="s">
        <v>4081</v>
      </c>
      <c r="CS934" s="584" t="s">
        <v>2583</v>
      </c>
      <c r="CT934" s="584" t="s">
        <v>2584</v>
      </c>
      <c r="CU934" s="584" t="s">
        <v>3080</v>
      </c>
      <c r="CV934" s="585" t="s">
        <v>3081</v>
      </c>
    </row>
    <row r="935" spans="91:100" ht="25.5" x14ac:dyDescent="0.25">
      <c r="CM935" s="582"/>
      <c r="CN935" s="584" t="s">
        <v>4082</v>
      </c>
      <c r="CO935" s="584" t="s">
        <v>1910</v>
      </c>
      <c r="CP935" s="584" t="s">
        <v>1888</v>
      </c>
      <c r="CQ935" s="584" t="s">
        <v>4083</v>
      </c>
      <c r="CR935" s="584" t="s">
        <v>4083</v>
      </c>
      <c r="CS935" s="584" t="s">
        <v>2583</v>
      </c>
      <c r="CT935" s="584" t="s">
        <v>2584</v>
      </c>
      <c r="CU935" s="584" t="s">
        <v>3080</v>
      </c>
      <c r="CV935" s="585" t="s">
        <v>3081</v>
      </c>
    </row>
    <row r="936" spans="91:100" ht="25.5" x14ac:dyDescent="0.25">
      <c r="CM936" s="582"/>
      <c r="CN936" s="584" t="s">
        <v>4084</v>
      </c>
      <c r="CO936" s="584" t="s">
        <v>1910</v>
      </c>
      <c r="CP936" s="584" t="s">
        <v>1888</v>
      </c>
      <c r="CQ936" s="584" t="s">
        <v>4085</v>
      </c>
      <c r="CR936" s="584" t="s">
        <v>4085</v>
      </c>
      <c r="CS936" s="584" t="s">
        <v>2583</v>
      </c>
      <c r="CT936" s="584" t="s">
        <v>2584</v>
      </c>
      <c r="CU936" s="584" t="s">
        <v>3080</v>
      </c>
      <c r="CV936" s="585" t="s">
        <v>3081</v>
      </c>
    </row>
    <row r="937" spans="91:100" ht="25.5" x14ac:dyDescent="0.25">
      <c r="CM937" s="582"/>
      <c r="CN937" s="584" t="s">
        <v>4086</v>
      </c>
      <c r="CO937" s="584" t="s">
        <v>1910</v>
      </c>
      <c r="CP937" s="584" t="s">
        <v>1888</v>
      </c>
      <c r="CQ937" s="584" t="s">
        <v>4087</v>
      </c>
      <c r="CR937" s="584" t="s">
        <v>4087</v>
      </c>
      <c r="CS937" s="584" t="s">
        <v>2583</v>
      </c>
      <c r="CT937" s="584" t="s">
        <v>2584</v>
      </c>
      <c r="CU937" s="584" t="s">
        <v>3080</v>
      </c>
      <c r="CV937" s="585" t="s">
        <v>3081</v>
      </c>
    </row>
    <row r="938" spans="91:100" ht="25.5" x14ac:dyDescent="0.25">
      <c r="CM938" s="582"/>
      <c r="CN938" s="584" t="s">
        <v>4088</v>
      </c>
      <c r="CO938" s="584" t="s">
        <v>1910</v>
      </c>
      <c r="CP938" s="584" t="s">
        <v>1888</v>
      </c>
      <c r="CQ938" s="584" t="s">
        <v>4089</v>
      </c>
      <c r="CR938" s="584" t="s">
        <v>4089</v>
      </c>
      <c r="CS938" s="584" t="s">
        <v>2583</v>
      </c>
      <c r="CT938" s="584" t="s">
        <v>2584</v>
      </c>
      <c r="CU938" s="584" t="s">
        <v>3080</v>
      </c>
      <c r="CV938" s="585" t="s">
        <v>3081</v>
      </c>
    </row>
    <row r="939" spans="91:100" ht="25.5" x14ac:dyDescent="0.25">
      <c r="CM939" s="582"/>
      <c r="CN939" s="584" t="s">
        <v>4090</v>
      </c>
      <c r="CO939" s="584" t="s">
        <v>1910</v>
      </c>
      <c r="CP939" s="584" t="s">
        <v>1888</v>
      </c>
      <c r="CQ939" s="584" t="s">
        <v>4091</v>
      </c>
      <c r="CR939" s="584" t="s">
        <v>4091</v>
      </c>
      <c r="CS939" s="584" t="s">
        <v>2583</v>
      </c>
      <c r="CT939" s="584" t="s">
        <v>2584</v>
      </c>
      <c r="CU939" s="584" t="s">
        <v>3080</v>
      </c>
      <c r="CV939" s="585" t="s">
        <v>3081</v>
      </c>
    </row>
    <row r="940" spans="91:100" ht="25.5" x14ac:dyDescent="0.25">
      <c r="CM940" s="582"/>
      <c r="CN940" s="584" t="s">
        <v>4092</v>
      </c>
      <c r="CO940" s="584" t="s">
        <v>1910</v>
      </c>
      <c r="CP940" s="584" t="s">
        <v>1888</v>
      </c>
      <c r="CQ940" s="584" t="s">
        <v>4093</v>
      </c>
      <c r="CR940" s="584" t="s">
        <v>4093</v>
      </c>
      <c r="CS940" s="584" t="s">
        <v>2583</v>
      </c>
      <c r="CT940" s="584" t="s">
        <v>2584</v>
      </c>
      <c r="CU940" s="584" t="s">
        <v>3080</v>
      </c>
      <c r="CV940" s="585" t="s">
        <v>3081</v>
      </c>
    </row>
    <row r="941" spans="91:100" ht="25.5" x14ac:dyDescent="0.25">
      <c r="CM941" s="582"/>
      <c r="CN941" s="584" t="s">
        <v>4094</v>
      </c>
      <c r="CO941" s="584" t="s">
        <v>1910</v>
      </c>
      <c r="CP941" s="584" t="s">
        <v>1888</v>
      </c>
      <c r="CQ941" s="584" t="s">
        <v>4095</v>
      </c>
      <c r="CR941" s="584" t="s">
        <v>4095</v>
      </c>
      <c r="CS941" s="584" t="s">
        <v>2583</v>
      </c>
      <c r="CT941" s="584" t="s">
        <v>2584</v>
      </c>
      <c r="CU941" s="584" t="s">
        <v>3080</v>
      </c>
      <c r="CV941" s="585" t="s">
        <v>3081</v>
      </c>
    </row>
    <row r="942" spans="91:100" ht="25.5" x14ac:dyDescent="0.25">
      <c r="CM942" s="582"/>
      <c r="CN942" s="584" t="s">
        <v>4096</v>
      </c>
      <c r="CO942" s="584" t="s">
        <v>1910</v>
      </c>
      <c r="CP942" s="584" t="s">
        <v>1888</v>
      </c>
      <c r="CQ942" s="584" t="s">
        <v>4097</v>
      </c>
      <c r="CR942" s="584" t="s">
        <v>4097</v>
      </c>
      <c r="CS942" s="584" t="s">
        <v>2583</v>
      </c>
      <c r="CT942" s="584" t="s">
        <v>2584</v>
      </c>
      <c r="CU942" s="584" t="s">
        <v>3080</v>
      </c>
      <c r="CV942" s="585" t="s">
        <v>3081</v>
      </c>
    </row>
    <row r="943" spans="91:100" ht="25.5" x14ac:dyDescent="0.25">
      <c r="CM943" s="582"/>
      <c r="CN943" s="584" t="s">
        <v>4098</v>
      </c>
      <c r="CO943" s="584" t="s">
        <v>1910</v>
      </c>
      <c r="CP943" s="584" t="s">
        <v>1888</v>
      </c>
      <c r="CQ943" s="584" t="s">
        <v>4099</v>
      </c>
      <c r="CR943" s="584" t="s">
        <v>4099</v>
      </c>
      <c r="CS943" s="584" t="s">
        <v>2583</v>
      </c>
      <c r="CT943" s="584" t="s">
        <v>2584</v>
      </c>
      <c r="CU943" s="584" t="s">
        <v>3080</v>
      </c>
      <c r="CV943" s="585" t="s">
        <v>3081</v>
      </c>
    </row>
    <row r="944" spans="91:100" ht="25.5" x14ac:dyDescent="0.25">
      <c r="CM944" s="582"/>
      <c r="CN944" s="584" t="s">
        <v>4100</v>
      </c>
      <c r="CO944" s="584" t="s">
        <v>1910</v>
      </c>
      <c r="CP944" s="584" t="s">
        <v>1888</v>
      </c>
      <c r="CQ944" s="584" t="s">
        <v>4101</v>
      </c>
      <c r="CR944" s="584" t="s">
        <v>4101</v>
      </c>
      <c r="CS944" s="584" t="s">
        <v>2583</v>
      </c>
      <c r="CT944" s="584" t="s">
        <v>2584</v>
      </c>
      <c r="CU944" s="584" t="s">
        <v>3080</v>
      </c>
      <c r="CV944" s="585" t="s">
        <v>3081</v>
      </c>
    </row>
    <row r="945" spans="91:100" ht="25.5" x14ac:dyDescent="0.25">
      <c r="CM945" s="582"/>
      <c r="CN945" s="584" t="s">
        <v>4102</v>
      </c>
      <c r="CO945" s="584" t="s">
        <v>1910</v>
      </c>
      <c r="CP945" s="584" t="s">
        <v>1888</v>
      </c>
      <c r="CQ945" s="584" t="s">
        <v>4103</v>
      </c>
      <c r="CR945" s="584" t="s">
        <v>4103</v>
      </c>
      <c r="CS945" s="584" t="s">
        <v>2583</v>
      </c>
      <c r="CT945" s="584" t="s">
        <v>2584</v>
      </c>
      <c r="CU945" s="584" t="s">
        <v>3080</v>
      </c>
      <c r="CV945" s="585" t="s">
        <v>3081</v>
      </c>
    </row>
    <row r="946" spans="91:100" ht="25.5" x14ac:dyDescent="0.25">
      <c r="CM946" s="582"/>
      <c r="CN946" s="584" t="s">
        <v>4104</v>
      </c>
      <c r="CO946" s="584" t="s">
        <v>1910</v>
      </c>
      <c r="CP946" s="584" t="s">
        <v>1888</v>
      </c>
      <c r="CQ946" s="584" t="s">
        <v>4105</v>
      </c>
      <c r="CR946" s="584" t="s">
        <v>4105</v>
      </c>
      <c r="CS946" s="584" t="s">
        <v>2583</v>
      </c>
      <c r="CT946" s="584" t="s">
        <v>2584</v>
      </c>
      <c r="CU946" s="584" t="s">
        <v>3080</v>
      </c>
      <c r="CV946" s="585" t="s">
        <v>3081</v>
      </c>
    </row>
    <row r="947" spans="91:100" ht="25.5" x14ac:dyDescent="0.25">
      <c r="CM947" s="582"/>
      <c r="CN947" s="584" t="s">
        <v>4106</v>
      </c>
      <c r="CO947" s="584" t="s">
        <v>1910</v>
      </c>
      <c r="CP947" s="584" t="s">
        <v>1888</v>
      </c>
      <c r="CQ947" s="584" t="s">
        <v>4107</v>
      </c>
      <c r="CR947" s="584" t="s">
        <v>4107</v>
      </c>
      <c r="CS947" s="584" t="s">
        <v>2583</v>
      </c>
      <c r="CT947" s="584" t="s">
        <v>2584</v>
      </c>
      <c r="CU947" s="584" t="s">
        <v>3080</v>
      </c>
      <c r="CV947" s="585" t="s">
        <v>3081</v>
      </c>
    </row>
    <row r="948" spans="91:100" ht="25.5" x14ac:dyDescent="0.25">
      <c r="CM948" s="582"/>
      <c r="CN948" s="584" t="s">
        <v>4108</v>
      </c>
      <c r="CO948" s="584" t="s">
        <v>1910</v>
      </c>
      <c r="CP948" s="584" t="s">
        <v>1888</v>
      </c>
      <c r="CQ948" s="584" t="s">
        <v>4109</v>
      </c>
      <c r="CR948" s="584" t="s">
        <v>4109</v>
      </c>
      <c r="CS948" s="584" t="s">
        <v>2583</v>
      </c>
      <c r="CT948" s="584" t="s">
        <v>2584</v>
      </c>
      <c r="CU948" s="584" t="s">
        <v>3080</v>
      </c>
      <c r="CV948" s="585" t="s">
        <v>3081</v>
      </c>
    </row>
    <row r="949" spans="91:100" ht="25.5" x14ac:dyDescent="0.25">
      <c r="CM949" s="582"/>
      <c r="CN949" s="584" t="s">
        <v>4110</v>
      </c>
      <c r="CO949" s="584" t="s">
        <v>1910</v>
      </c>
      <c r="CP949" s="584" t="s">
        <v>1888</v>
      </c>
      <c r="CQ949" s="584" t="s">
        <v>4111</v>
      </c>
      <c r="CR949" s="584" t="s">
        <v>4111</v>
      </c>
      <c r="CS949" s="584" t="s">
        <v>2583</v>
      </c>
      <c r="CT949" s="584" t="s">
        <v>2584</v>
      </c>
      <c r="CU949" s="584" t="s">
        <v>3080</v>
      </c>
      <c r="CV949" s="585" t="s">
        <v>3081</v>
      </c>
    </row>
    <row r="950" spans="91:100" ht="25.5" x14ac:dyDescent="0.25">
      <c r="CM950" s="582"/>
      <c r="CN950" s="584" t="s">
        <v>4112</v>
      </c>
      <c r="CO950" s="584" t="s">
        <v>1910</v>
      </c>
      <c r="CP950" s="584" t="s">
        <v>1888</v>
      </c>
      <c r="CQ950" s="584" t="s">
        <v>4113</v>
      </c>
      <c r="CR950" s="584" t="s">
        <v>4113</v>
      </c>
      <c r="CS950" s="584" t="s">
        <v>2583</v>
      </c>
      <c r="CT950" s="584" t="s">
        <v>2584</v>
      </c>
      <c r="CU950" s="584" t="s">
        <v>3080</v>
      </c>
      <c r="CV950" s="585" t="s">
        <v>3081</v>
      </c>
    </row>
    <row r="951" spans="91:100" ht="25.5" x14ac:dyDescent="0.25">
      <c r="CM951" s="582"/>
      <c r="CN951" s="584" t="s">
        <v>4114</v>
      </c>
      <c r="CO951" s="584" t="s">
        <v>1910</v>
      </c>
      <c r="CP951" s="584" t="s">
        <v>1888</v>
      </c>
      <c r="CQ951" s="584" t="s">
        <v>4115</v>
      </c>
      <c r="CR951" s="584" t="s">
        <v>4115</v>
      </c>
      <c r="CS951" s="584" t="s">
        <v>2583</v>
      </c>
      <c r="CT951" s="584" t="s">
        <v>2584</v>
      </c>
      <c r="CU951" s="584" t="s">
        <v>3080</v>
      </c>
      <c r="CV951" s="585" t="s">
        <v>3081</v>
      </c>
    </row>
    <row r="952" spans="91:100" ht="25.5" x14ac:dyDescent="0.25">
      <c r="CM952" s="582"/>
      <c r="CN952" s="584" t="s">
        <v>4116</v>
      </c>
      <c r="CO952" s="584" t="s">
        <v>1910</v>
      </c>
      <c r="CP952" s="584" t="s">
        <v>1888</v>
      </c>
      <c r="CQ952" s="584" t="s">
        <v>4117</v>
      </c>
      <c r="CR952" s="584" t="s">
        <v>4117</v>
      </c>
      <c r="CS952" s="584" t="s">
        <v>2583</v>
      </c>
      <c r="CT952" s="584" t="s">
        <v>2584</v>
      </c>
      <c r="CU952" s="584" t="s">
        <v>3080</v>
      </c>
      <c r="CV952" s="585" t="s">
        <v>3081</v>
      </c>
    </row>
    <row r="953" spans="91:100" ht="25.5" x14ac:dyDescent="0.25">
      <c r="CM953" s="582"/>
      <c r="CN953" s="584" t="s">
        <v>4118</v>
      </c>
      <c r="CO953" s="584" t="s">
        <v>1910</v>
      </c>
      <c r="CP953" s="584" t="s">
        <v>1888</v>
      </c>
      <c r="CQ953" s="584" t="s">
        <v>4119</v>
      </c>
      <c r="CR953" s="584" t="s">
        <v>4119</v>
      </c>
      <c r="CS953" s="584" t="s">
        <v>2583</v>
      </c>
      <c r="CT953" s="584" t="s">
        <v>2584</v>
      </c>
      <c r="CU953" s="584" t="s">
        <v>3080</v>
      </c>
      <c r="CV953" s="585" t="s">
        <v>3081</v>
      </c>
    </row>
    <row r="954" spans="91:100" ht="25.5" x14ac:dyDescent="0.25">
      <c r="CM954" s="582"/>
      <c r="CN954" s="584" t="s">
        <v>4120</v>
      </c>
      <c r="CO954" s="584" t="s">
        <v>1910</v>
      </c>
      <c r="CP954" s="584" t="s">
        <v>1888</v>
      </c>
      <c r="CQ954" s="584" t="s">
        <v>4121</v>
      </c>
      <c r="CR954" s="584" t="s">
        <v>4121</v>
      </c>
      <c r="CS954" s="584" t="s">
        <v>2583</v>
      </c>
      <c r="CT954" s="584" t="s">
        <v>2584</v>
      </c>
      <c r="CU954" s="584" t="s">
        <v>3080</v>
      </c>
      <c r="CV954" s="585" t="s">
        <v>3081</v>
      </c>
    </row>
    <row r="955" spans="91:100" ht="25.5" x14ac:dyDescent="0.25">
      <c r="CM955" s="582"/>
      <c r="CN955" s="584" t="s">
        <v>4122</v>
      </c>
      <c r="CO955" s="584" t="s">
        <v>1910</v>
      </c>
      <c r="CP955" s="584" t="s">
        <v>1888</v>
      </c>
      <c r="CQ955" s="584" t="s">
        <v>4123</v>
      </c>
      <c r="CR955" s="584" t="s">
        <v>4123</v>
      </c>
      <c r="CS955" s="584" t="s">
        <v>2583</v>
      </c>
      <c r="CT955" s="584" t="s">
        <v>2584</v>
      </c>
      <c r="CU955" s="584" t="s">
        <v>3080</v>
      </c>
      <c r="CV955" s="585" t="s">
        <v>3081</v>
      </c>
    </row>
    <row r="956" spans="91:100" ht="25.5" x14ac:dyDescent="0.25">
      <c r="CM956" s="582"/>
      <c r="CN956" s="584" t="s">
        <v>4124</v>
      </c>
      <c r="CO956" s="584" t="s">
        <v>1910</v>
      </c>
      <c r="CP956" s="584" t="s">
        <v>1888</v>
      </c>
      <c r="CQ956" s="584" t="s">
        <v>4125</v>
      </c>
      <c r="CR956" s="584" t="s">
        <v>4125</v>
      </c>
      <c r="CS956" s="584" t="s">
        <v>2583</v>
      </c>
      <c r="CT956" s="584" t="s">
        <v>2584</v>
      </c>
      <c r="CU956" s="584" t="s">
        <v>3080</v>
      </c>
      <c r="CV956" s="585" t="s">
        <v>3081</v>
      </c>
    </row>
    <row r="957" spans="91:100" ht="25.5" x14ac:dyDescent="0.25">
      <c r="CM957" s="582"/>
      <c r="CN957" s="584" t="s">
        <v>4126</v>
      </c>
      <c r="CO957" s="584" t="s">
        <v>1910</v>
      </c>
      <c r="CP957" s="584" t="s">
        <v>1888</v>
      </c>
      <c r="CQ957" s="584" t="s">
        <v>4127</v>
      </c>
      <c r="CR957" s="584" t="s">
        <v>4127</v>
      </c>
      <c r="CS957" s="584" t="s">
        <v>2583</v>
      </c>
      <c r="CT957" s="584" t="s">
        <v>2584</v>
      </c>
      <c r="CU957" s="584" t="s">
        <v>3080</v>
      </c>
      <c r="CV957" s="585" t="s">
        <v>3081</v>
      </c>
    </row>
    <row r="958" spans="91:100" ht="25.5" x14ac:dyDescent="0.25">
      <c r="CM958" s="582"/>
      <c r="CN958" s="584" t="s">
        <v>4128</v>
      </c>
      <c r="CO958" s="584" t="s">
        <v>1910</v>
      </c>
      <c r="CP958" s="584" t="s">
        <v>1888</v>
      </c>
      <c r="CQ958" s="584" t="s">
        <v>4129</v>
      </c>
      <c r="CR958" s="584" t="s">
        <v>4129</v>
      </c>
      <c r="CS958" s="584" t="s">
        <v>2583</v>
      </c>
      <c r="CT958" s="584" t="s">
        <v>2584</v>
      </c>
      <c r="CU958" s="584" t="s">
        <v>3080</v>
      </c>
      <c r="CV958" s="585" t="s">
        <v>3081</v>
      </c>
    </row>
    <row r="959" spans="91:100" ht="25.5" x14ac:dyDescent="0.25">
      <c r="CM959" s="582"/>
      <c r="CN959" s="584" t="s">
        <v>4130</v>
      </c>
      <c r="CO959" s="584" t="s">
        <v>1910</v>
      </c>
      <c r="CP959" s="584" t="s">
        <v>1888</v>
      </c>
      <c r="CQ959" s="584" t="s">
        <v>4131</v>
      </c>
      <c r="CR959" s="584" t="s">
        <v>4131</v>
      </c>
      <c r="CS959" s="584" t="s">
        <v>2583</v>
      </c>
      <c r="CT959" s="584" t="s">
        <v>2584</v>
      </c>
      <c r="CU959" s="584" t="s">
        <v>3080</v>
      </c>
      <c r="CV959" s="585" t="s">
        <v>3081</v>
      </c>
    </row>
    <row r="960" spans="91:100" ht="25.5" x14ac:dyDescent="0.25">
      <c r="CM960" s="582"/>
      <c r="CN960" s="584" t="s">
        <v>4132</v>
      </c>
      <c r="CO960" s="584" t="s">
        <v>1910</v>
      </c>
      <c r="CP960" s="584" t="s">
        <v>1888</v>
      </c>
      <c r="CQ960" s="584" t="s">
        <v>4133</v>
      </c>
      <c r="CR960" s="584" t="s">
        <v>4133</v>
      </c>
      <c r="CS960" s="584" t="s">
        <v>2583</v>
      </c>
      <c r="CT960" s="584" t="s">
        <v>2584</v>
      </c>
      <c r="CU960" s="584" t="s">
        <v>3080</v>
      </c>
      <c r="CV960" s="585" t="s">
        <v>3081</v>
      </c>
    </row>
    <row r="961" spans="91:100" ht="25.5" x14ac:dyDescent="0.25">
      <c r="CM961" s="582"/>
      <c r="CN961" s="584" t="s">
        <v>4134</v>
      </c>
      <c r="CO961" s="584" t="s">
        <v>1910</v>
      </c>
      <c r="CP961" s="584" t="s">
        <v>1888</v>
      </c>
      <c r="CQ961" s="584" t="s">
        <v>4135</v>
      </c>
      <c r="CR961" s="584" t="s">
        <v>4135</v>
      </c>
      <c r="CS961" s="584" t="s">
        <v>2583</v>
      </c>
      <c r="CT961" s="584" t="s">
        <v>2584</v>
      </c>
      <c r="CU961" s="584" t="s">
        <v>3080</v>
      </c>
      <c r="CV961" s="585" t="s">
        <v>3081</v>
      </c>
    </row>
    <row r="962" spans="91:100" ht="25.5" x14ac:dyDescent="0.25">
      <c r="CM962" s="582"/>
      <c r="CN962" s="584" t="s">
        <v>4136</v>
      </c>
      <c r="CO962" s="584" t="s">
        <v>1910</v>
      </c>
      <c r="CP962" s="584" t="s">
        <v>1888</v>
      </c>
      <c r="CQ962" s="584" t="s">
        <v>4137</v>
      </c>
      <c r="CR962" s="584" t="s">
        <v>4137</v>
      </c>
      <c r="CS962" s="584" t="s">
        <v>2583</v>
      </c>
      <c r="CT962" s="584" t="s">
        <v>2584</v>
      </c>
      <c r="CU962" s="584" t="s">
        <v>3080</v>
      </c>
      <c r="CV962" s="585" t="s">
        <v>3081</v>
      </c>
    </row>
    <row r="963" spans="91:100" ht="25.5" x14ac:dyDescent="0.25">
      <c r="CM963" s="582"/>
      <c r="CN963" s="584" t="s">
        <v>4138</v>
      </c>
      <c r="CO963" s="584" t="s">
        <v>1910</v>
      </c>
      <c r="CP963" s="584" t="s">
        <v>1888</v>
      </c>
      <c r="CQ963" s="584" t="s">
        <v>4139</v>
      </c>
      <c r="CR963" s="584" t="s">
        <v>4139</v>
      </c>
      <c r="CS963" s="584" t="s">
        <v>2583</v>
      </c>
      <c r="CT963" s="584" t="s">
        <v>2584</v>
      </c>
      <c r="CU963" s="584" t="s">
        <v>3080</v>
      </c>
      <c r="CV963" s="585" t="s">
        <v>3081</v>
      </c>
    </row>
    <row r="964" spans="91:100" ht="25.5" x14ac:dyDescent="0.25">
      <c r="CM964" s="582"/>
      <c r="CN964" s="584" t="s">
        <v>4140</v>
      </c>
      <c r="CO964" s="584" t="s">
        <v>1910</v>
      </c>
      <c r="CP964" s="584" t="s">
        <v>1888</v>
      </c>
      <c r="CQ964" s="584" t="s">
        <v>4141</v>
      </c>
      <c r="CR964" s="584" t="s">
        <v>4141</v>
      </c>
      <c r="CS964" s="584" t="s">
        <v>2583</v>
      </c>
      <c r="CT964" s="584" t="s">
        <v>2584</v>
      </c>
      <c r="CU964" s="584" t="s">
        <v>3080</v>
      </c>
      <c r="CV964" s="585" t="s">
        <v>3081</v>
      </c>
    </row>
    <row r="965" spans="91:100" ht="25.5" x14ac:dyDescent="0.25">
      <c r="CM965" s="582"/>
      <c r="CN965" s="584" t="s">
        <v>4142</v>
      </c>
      <c r="CO965" s="584" t="s">
        <v>1910</v>
      </c>
      <c r="CP965" s="584" t="s">
        <v>1888</v>
      </c>
      <c r="CQ965" s="584" t="s">
        <v>4143</v>
      </c>
      <c r="CR965" s="584" t="s">
        <v>4143</v>
      </c>
      <c r="CS965" s="584" t="s">
        <v>2583</v>
      </c>
      <c r="CT965" s="584" t="s">
        <v>2584</v>
      </c>
      <c r="CU965" s="584" t="s">
        <v>3080</v>
      </c>
      <c r="CV965" s="585" t="s">
        <v>3081</v>
      </c>
    </row>
    <row r="966" spans="91:100" ht="25.5" x14ac:dyDescent="0.25">
      <c r="CM966" s="582"/>
      <c r="CN966" s="584" t="s">
        <v>4144</v>
      </c>
      <c r="CO966" s="584" t="s">
        <v>1910</v>
      </c>
      <c r="CP966" s="584" t="s">
        <v>1888</v>
      </c>
      <c r="CQ966" s="584" t="s">
        <v>4145</v>
      </c>
      <c r="CR966" s="584" t="s">
        <v>4145</v>
      </c>
      <c r="CS966" s="584" t="s">
        <v>2583</v>
      </c>
      <c r="CT966" s="584" t="s">
        <v>2584</v>
      </c>
      <c r="CU966" s="584" t="s">
        <v>3080</v>
      </c>
      <c r="CV966" s="585" t="s">
        <v>3081</v>
      </c>
    </row>
    <row r="967" spans="91:100" ht="25.5" x14ac:dyDescent="0.25">
      <c r="CM967" s="582"/>
      <c r="CN967" s="584" t="s">
        <v>4146</v>
      </c>
      <c r="CO967" s="584" t="s">
        <v>1910</v>
      </c>
      <c r="CP967" s="584" t="s">
        <v>1888</v>
      </c>
      <c r="CQ967" s="584" t="s">
        <v>4147</v>
      </c>
      <c r="CR967" s="584" t="s">
        <v>4147</v>
      </c>
      <c r="CS967" s="584" t="s">
        <v>2583</v>
      </c>
      <c r="CT967" s="584" t="s">
        <v>2584</v>
      </c>
      <c r="CU967" s="584" t="s">
        <v>3080</v>
      </c>
      <c r="CV967" s="585" t="s">
        <v>3081</v>
      </c>
    </row>
    <row r="968" spans="91:100" ht="25.5" x14ac:dyDescent="0.25">
      <c r="CM968" s="582"/>
      <c r="CN968" s="584" t="s">
        <v>4148</v>
      </c>
      <c r="CO968" s="584" t="s">
        <v>1910</v>
      </c>
      <c r="CP968" s="584" t="s">
        <v>1888</v>
      </c>
      <c r="CQ968" s="584" t="s">
        <v>4149</v>
      </c>
      <c r="CR968" s="584" t="s">
        <v>4149</v>
      </c>
      <c r="CS968" s="584" t="s">
        <v>2583</v>
      </c>
      <c r="CT968" s="584" t="s">
        <v>2584</v>
      </c>
      <c r="CU968" s="584" t="s">
        <v>3080</v>
      </c>
      <c r="CV968" s="585" t="s">
        <v>3081</v>
      </c>
    </row>
    <row r="969" spans="91:100" ht="25.5" x14ac:dyDescent="0.25">
      <c r="CM969" s="582"/>
      <c r="CN969" s="584" t="s">
        <v>4150</v>
      </c>
      <c r="CO969" s="584" t="s">
        <v>1910</v>
      </c>
      <c r="CP969" s="584" t="s">
        <v>1888</v>
      </c>
      <c r="CQ969" s="584" t="s">
        <v>4151</v>
      </c>
      <c r="CR969" s="584" t="s">
        <v>4151</v>
      </c>
      <c r="CS969" s="584" t="s">
        <v>2583</v>
      </c>
      <c r="CT969" s="584" t="s">
        <v>2584</v>
      </c>
      <c r="CU969" s="584" t="s">
        <v>3080</v>
      </c>
      <c r="CV969" s="585" t="s">
        <v>3081</v>
      </c>
    </row>
    <row r="970" spans="91:100" ht="25.5" x14ac:dyDescent="0.25">
      <c r="CM970" s="582"/>
      <c r="CN970" s="584" t="s">
        <v>4152</v>
      </c>
      <c r="CO970" s="584" t="s">
        <v>1910</v>
      </c>
      <c r="CP970" s="584" t="s">
        <v>1888</v>
      </c>
      <c r="CQ970" s="584" t="s">
        <v>4153</v>
      </c>
      <c r="CR970" s="584" t="s">
        <v>4153</v>
      </c>
      <c r="CS970" s="584" t="s">
        <v>2583</v>
      </c>
      <c r="CT970" s="584" t="s">
        <v>2584</v>
      </c>
      <c r="CU970" s="584" t="s">
        <v>3080</v>
      </c>
      <c r="CV970" s="585" t="s">
        <v>3081</v>
      </c>
    </row>
    <row r="971" spans="91:100" ht="25.5" x14ac:dyDescent="0.25">
      <c r="CM971" s="582"/>
      <c r="CN971" s="584" t="s">
        <v>4154</v>
      </c>
      <c r="CO971" s="584" t="s">
        <v>1910</v>
      </c>
      <c r="CP971" s="584" t="s">
        <v>1888</v>
      </c>
      <c r="CQ971" s="584" t="s">
        <v>4155</v>
      </c>
      <c r="CR971" s="584" t="s">
        <v>4155</v>
      </c>
      <c r="CS971" s="584" t="s">
        <v>2583</v>
      </c>
      <c r="CT971" s="584" t="s">
        <v>2584</v>
      </c>
      <c r="CU971" s="584" t="s">
        <v>3080</v>
      </c>
      <c r="CV971" s="585" t="s">
        <v>3081</v>
      </c>
    </row>
    <row r="972" spans="91:100" x14ac:dyDescent="0.25">
      <c r="CM972" s="582"/>
      <c r="CN972" s="584" t="s">
        <v>4156</v>
      </c>
      <c r="CO972" s="584" t="s">
        <v>1910</v>
      </c>
      <c r="CP972" s="584" t="s">
        <v>1888</v>
      </c>
      <c r="CQ972" s="584" t="s">
        <v>4157</v>
      </c>
      <c r="CR972" s="584" t="s">
        <v>4157</v>
      </c>
      <c r="CS972" s="584" t="s">
        <v>1978</v>
      </c>
      <c r="CT972" s="584" t="s">
        <v>1979</v>
      </c>
      <c r="CU972" s="584" t="s">
        <v>1892</v>
      </c>
      <c r="CV972" s="585" t="s">
        <v>1980</v>
      </c>
    </row>
    <row r="973" spans="91:100" ht="25.5" x14ac:dyDescent="0.25">
      <c r="CM973" s="582"/>
      <c r="CN973" s="584" t="s">
        <v>4158</v>
      </c>
      <c r="CO973" s="584" t="s">
        <v>1910</v>
      </c>
      <c r="CP973" s="584" t="s">
        <v>1888</v>
      </c>
      <c r="CQ973" s="584" t="s">
        <v>4159</v>
      </c>
      <c r="CR973" s="584" t="s">
        <v>4159</v>
      </c>
      <c r="CS973" s="584" t="s">
        <v>2583</v>
      </c>
      <c r="CT973" s="584" t="s">
        <v>2584</v>
      </c>
      <c r="CU973" s="584" t="s">
        <v>3080</v>
      </c>
      <c r="CV973" s="585" t="s">
        <v>3081</v>
      </c>
    </row>
    <row r="974" spans="91:100" ht="25.5" x14ac:dyDescent="0.25">
      <c r="CM974" s="582"/>
      <c r="CN974" s="584" t="s">
        <v>4160</v>
      </c>
      <c r="CO974" s="584" t="s">
        <v>1910</v>
      </c>
      <c r="CP974" s="584" t="s">
        <v>1888</v>
      </c>
      <c r="CQ974" s="584" t="s">
        <v>4161</v>
      </c>
      <c r="CR974" s="584" t="s">
        <v>4161</v>
      </c>
      <c r="CS974" s="584" t="s">
        <v>2583</v>
      </c>
      <c r="CT974" s="584" t="s">
        <v>2584</v>
      </c>
      <c r="CU974" s="584" t="s">
        <v>3080</v>
      </c>
      <c r="CV974" s="585" t="s">
        <v>3081</v>
      </c>
    </row>
    <row r="975" spans="91:100" ht="25.5" x14ac:dyDescent="0.25">
      <c r="CM975" s="582"/>
      <c r="CN975" s="584" t="s">
        <v>4162</v>
      </c>
      <c r="CO975" s="584" t="s">
        <v>1910</v>
      </c>
      <c r="CP975" s="584" t="s">
        <v>1888</v>
      </c>
      <c r="CQ975" s="584" t="s">
        <v>4163</v>
      </c>
      <c r="CR975" s="584" t="s">
        <v>4163</v>
      </c>
      <c r="CS975" s="584" t="s">
        <v>2583</v>
      </c>
      <c r="CT975" s="584" t="s">
        <v>2584</v>
      </c>
      <c r="CU975" s="584" t="s">
        <v>3080</v>
      </c>
      <c r="CV975" s="585" t="s">
        <v>3081</v>
      </c>
    </row>
    <row r="976" spans="91:100" ht="25.5" x14ac:dyDescent="0.25">
      <c r="CM976" s="582"/>
      <c r="CN976" s="584" t="s">
        <v>4164</v>
      </c>
      <c r="CO976" s="584" t="s">
        <v>1910</v>
      </c>
      <c r="CP976" s="584" t="s">
        <v>1888</v>
      </c>
      <c r="CQ976" s="584" t="s">
        <v>4165</v>
      </c>
      <c r="CR976" s="584" t="s">
        <v>4165</v>
      </c>
      <c r="CS976" s="584" t="s">
        <v>2583</v>
      </c>
      <c r="CT976" s="584" t="s">
        <v>2584</v>
      </c>
      <c r="CU976" s="584" t="s">
        <v>3080</v>
      </c>
      <c r="CV976" s="585" t="s">
        <v>3081</v>
      </c>
    </row>
    <row r="977" spans="91:100" ht="25.5" x14ac:dyDescent="0.25">
      <c r="CM977" s="582"/>
      <c r="CN977" s="584" t="s">
        <v>4166</v>
      </c>
      <c r="CO977" s="584" t="s">
        <v>1910</v>
      </c>
      <c r="CP977" s="584" t="s">
        <v>1888</v>
      </c>
      <c r="CQ977" s="584" t="s">
        <v>4167</v>
      </c>
      <c r="CR977" s="584" t="s">
        <v>4167</v>
      </c>
      <c r="CS977" s="584" t="s">
        <v>2583</v>
      </c>
      <c r="CT977" s="584" t="s">
        <v>2584</v>
      </c>
      <c r="CU977" s="584" t="s">
        <v>3080</v>
      </c>
      <c r="CV977" s="585" t="s">
        <v>3081</v>
      </c>
    </row>
    <row r="978" spans="91:100" ht="25.5" x14ac:dyDescent="0.25">
      <c r="CM978" s="582"/>
      <c r="CN978" s="584" t="s">
        <v>4168</v>
      </c>
      <c r="CO978" s="584" t="s">
        <v>1910</v>
      </c>
      <c r="CP978" s="584" t="s">
        <v>1888</v>
      </c>
      <c r="CQ978" s="584" t="s">
        <v>4169</v>
      </c>
      <c r="CR978" s="584" t="s">
        <v>4169</v>
      </c>
      <c r="CS978" s="584" t="s">
        <v>2583</v>
      </c>
      <c r="CT978" s="584" t="s">
        <v>2584</v>
      </c>
      <c r="CU978" s="584" t="s">
        <v>3080</v>
      </c>
      <c r="CV978" s="585" t="s">
        <v>3081</v>
      </c>
    </row>
    <row r="979" spans="91:100" ht="25.5" x14ac:dyDescent="0.25">
      <c r="CM979" s="582"/>
      <c r="CN979" s="584" t="s">
        <v>4170</v>
      </c>
      <c r="CO979" s="584" t="s">
        <v>1910</v>
      </c>
      <c r="CP979" s="584" t="s">
        <v>1888</v>
      </c>
      <c r="CQ979" s="584" t="s">
        <v>4171</v>
      </c>
      <c r="CR979" s="584" t="s">
        <v>4171</v>
      </c>
      <c r="CS979" s="584" t="s">
        <v>2583</v>
      </c>
      <c r="CT979" s="584" t="s">
        <v>2584</v>
      </c>
      <c r="CU979" s="584" t="s">
        <v>3080</v>
      </c>
      <c r="CV979" s="585" t="s">
        <v>3081</v>
      </c>
    </row>
    <row r="980" spans="91:100" ht="25.5" x14ac:dyDescent="0.25">
      <c r="CM980" s="582"/>
      <c r="CN980" s="584" t="s">
        <v>4172</v>
      </c>
      <c r="CO980" s="584" t="s">
        <v>1910</v>
      </c>
      <c r="CP980" s="584" t="s">
        <v>1888</v>
      </c>
      <c r="CQ980" s="584" t="s">
        <v>4173</v>
      </c>
      <c r="CR980" s="584" t="s">
        <v>4173</v>
      </c>
      <c r="CS980" s="584" t="s">
        <v>2583</v>
      </c>
      <c r="CT980" s="584" t="s">
        <v>2584</v>
      </c>
      <c r="CU980" s="584" t="s">
        <v>3080</v>
      </c>
      <c r="CV980" s="585" t="s">
        <v>3081</v>
      </c>
    </row>
    <row r="981" spans="91:100" ht="25.5" x14ac:dyDescent="0.25">
      <c r="CM981" s="582"/>
      <c r="CN981" s="584" t="s">
        <v>4174</v>
      </c>
      <c r="CO981" s="584" t="s">
        <v>1910</v>
      </c>
      <c r="CP981" s="584" t="s">
        <v>1888</v>
      </c>
      <c r="CQ981" s="584" t="s">
        <v>4175</v>
      </c>
      <c r="CR981" s="584" t="s">
        <v>4175</v>
      </c>
      <c r="CS981" s="584" t="s">
        <v>2583</v>
      </c>
      <c r="CT981" s="584" t="s">
        <v>2584</v>
      </c>
      <c r="CU981" s="584" t="s">
        <v>3080</v>
      </c>
      <c r="CV981" s="585" t="s">
        <v>3081</v>
      </c>
    </row>
    <row r="982" spans="91:100" ht="25.5" x14ac:dyDescent="0.25">
      <c r="CM982" s="582"/>
      <c r="CN982" s="584" t="s">
        <v>4176</v>
      </c>
      <c r="CO982" s="584" t="s">
        <v>1910</v>
      </c>
      <c r="CP982" s="584" t="s">
        <v>1888</v>
      </c>
      <c r="CQ982" s="584" t="s">
        <v>4177</v>
      </c>
      <c r="CR982" s="584" t="s">
        <v>4177</v>
      </c>
      <c r="CS982" s="584" t="s">
        <v>2583</v>
      </c>
      <c r="CT982" s="584" t="s">
        <v>2584</v>
      </c>
      <c r="CU982" s="584" t="s">
        <v>3080</v>
      </c>
      <c r="CV982" s="585" t="s">
        <v>3081</v>
      </c>
    </row>
    <row r="983" spans="91:100" ht="25.5" x14ac:dyDescent="0.25">
      <c r="CM983" s="582"/>
      <c r="CN983" s="584" t="s">
        <v>4178</v>
      </c>
      <c r="CO983" s="584" t="s">
        <v>1910</v>
      </c>
      <c r="CP983" s="584" t="s">
        <v>1888</v>
      </c>
      <c r="CQ983" s="584" t="s">
        <v>4179</v>
      </c>
      <c r="CR983" s="584" t="s">
        <v>4179</v>
      </c>
      <c r="CS983" s="584" t="s">
        <v>2583</v>
      </c>
      <c r="CT983" s="584" t="s">
        <v>2584</v>
      </c>
      <c r="CU983" s="584" t="s">
        <v>3080</v>
      </c>
      <c r="CV983" s="585" t="s">
        <v>3081</v>
      </c>
    </row>
    <row r="984" spans="91:100" ht="25.5" x14ac:dyDescent="0.25">
      <c r="CM984" s="582"/>
      <c r="CN984" s="584" t="s">
        <v>4180</v>
      </c>
      <c r="CO984" s="584" t="s">
        <v>1910</v>
      </c>
      <c r="CP984" s="584" t="s">
        <v>1888</v>
      </c>
      <c r="CQ984" s="584" t="s">
        <v>4181</v>
      </c>
      <c r="CR984" s="584" t="s">
        <v>4181</v>
      </c>
      <c r="CS984" s="584" t="s">
        <v>2583</v>
      </c>
      <c r="CT984" s="584" t="s">
        <v>2584</v>
      </c>
      <c r="CU984" s="584" t="s">
        <v>3080</v>
      </c>
      <c r="CV984" s="585" t="s">
        <v>3081</v>
      </c>
    </row>
    <row r="985" spans="91:100" ht="25.5" x14ac:dyDescent="0.25">
      <c r="CM985" s="582"/>
      <c r="CN985" s="584" t="s">
        <v>4182</v>
      </c>
      <c r="CO985" s="584" t="s">
        <v>1910</v>
      </c>
      <c r="CP985" s="584" t="s">
        <v>1888</v>
      </c>
      <c r="CQ985" s="584" t="s">
        <v>4183</v>
      </c>
      <c r="CR985" s="584" t="s">
        <v>4183</v>
      </c>
      <c r="CS985" s="584" t="s">
        <v>2583</v>
      </c>
      <c r="CT985" s="584" t="s">
        <v>2584</v>
      </c>
      <c r="CU985" s="584" t="s">
        <v>3080</v>
      </c>
      <c r="CV985" s="585" t="s">
        <v>3081</v>
      </c>
    </row>
    <row r="986" spans="91:100" ht="25.5" x14ac:dyDescent="0.25">
      <c r="CM986" s="582"/>
      <c r="CN986" s="584" t="s">
        <v>4184</v>
      </c>
      <c r="CO986" s="584" t="s">
        <v>1910</v>
      </c>
      <c r="CP986" s="584" t="s">
        <v>1888</v>
      </c>
      <c r="CQ986" s="584" t="s">
        <v>4185</v>
      </c>
      <c r="CR986" s="584" t="s">
        <v>4185</v>
      </c>
      <c r="CS986" s="584" t="s">
        <v>2583</v>
      </c>
      <c r="CT986" s="584" t="s">
        <v>2584</v>
      </c>
      <c r="CU986" s="584" t="s">
        <v>3080</v>
      </c>
      <c r="CV986" s="585" t="s">
        <v>3081</v>
      </c>
    </row>
    <row r="987" spans="91:100" ht="25.5" x14ac:dyDescent="0.25">
      <c r="CM987" s="582"/>
      <c r="CN987" s="584" t="s">
        <v>4186</v>
      </c>
      <c r="CO987" s="584" t="s">
        <v>1910</v>
      </c>
      <c r="CP987" s="584" t="s">
        <v>1888</v>
      </c>
      <c r="CQ987" s="584" t="s">
        <v>4187</v>
      </c>
      <c r="CR987" s="584" t="s">
        <v>4187</v>
      </c>
      <c r="CS987" s="584" t="s">
        <v>2583</v>
      </c>
      <c r="CT987" s="584" t="s">
        <v>2584</v>
      </c>
      <c r="CU987" s="584" t="s">
        <v>3080</v>
      </c>
      <c r="CV987" s="585" t="s">
        <v>3081</v>
      </c>
    </row>
    <row r="988" spans="91:100" ht="25.5" x14ac:dyDescent="0.25">
      <c r="CM988" s="582"/>
      <c r="CN988" s="584" t="s">
        <v>4188</v>
      </c>
      <c r="CO988" s="584" t="s">
        <v>1910</v>
      </c>
      <c r="CP988" s="584" t="s">
        <v>1888</v>
      </c>
      <c r="CQ988" s="584" t="s">
        <v>4189</v>
      </c>
      <c r="CR988" s="584" t="s">
        <v>4189</v>
      </c>
      <c r="CS988" s="584" t="s">
        <v>2583</v>
      </c>
      <c r="CT988" s="584" t="s">
        <v>2584</v>
      </c>
      <c r="CU988" s="584" t="s">
        <v>3080</v>
      </c>
      <c r="CV988" s="585" t="s">
        <v>3081</v>
      </c>
    </row>
    <row r="989" spans="91:100" ht="25.5" x14ac:dyDescent="0.25">
      <c r="CM989" s="582"/>
      <c r="CN989" s="584" t="s">
        <v>4190</v>
      </c>
      <c r="CO989" s="584" t="s">
        <v>1910</v>
      </c>
      <c r="CP989" s="584" t="s">
        <v>1888</v>
      </c>
      <c r="CQ989" s="584" t="s">
        <v>4191</v>
      </c>
      <c r="CR989" s="584" t="s">
        <v>4191</v>
      </c>
      <c r="CS989" s="584" t="s">
        <v>2583</v>
      </c>
      <c r="CT989" s="584" t="s">
        <v>2584</v>
      </c>
      <c r="CU989" s="584" t="s">
        <v>3080</v>
      </c>
      <c r="CV989" s="585" t="s">
        <v>3081</v>
      </c>
    </row>
    <row r="990" spans="91:100" ht="25.5" x14ac:dyDescent="0.25">
      <c r="CM990" s="582"/>
      <c r="CN990" s="584" t="s">
        <v>4192</v>
      </c>
      <c r="CO990" s="584" t="s">
        <v>1910</v>
      </c>
      <c r="CP990" s="584" t="s">
        <v>1888</v>
      </c>
      <c r="CQ990" s="584" t="s">
        <v>4193</v>
      </c>
      <c r="CR990" s="584" t="s">
        <v>4193</v>
      </c>
      <c r="CS990" s="584" t="s">
        <v>2583</v>
      </c>
      <c r="CT990" s="584" t="s">
        <v>2584</v>
      </c>
      <c r="CU990" s="584" t="s">
        <v>3080</v>
      </c>
      <c r="CV990" s="585" t="s">
        <v>3081</v>
      </c>
    </row>
    <row r="991" spans="91:100" ht="25.5" x14ac:dyDescent="0.25">
      <c r="CM991" s="582"/>
      <c r="CN991" s="584" t="s">
        <v>4194</v>
      </c>
      <c r="CO991" s="584" t="s">
        <v>1910</v>
      </c>
      <c r="CP991" s="584" t="s">
        <v>1888</v>
      </c>
      <c r="CQ991" s="584" t="s">
        <v>4195</v>
      </c>
      <c r="CR991" s="584" t="s">
        <v>4195</v>
      </c>
      <c r="CS991" s="584" t="s">
        <v>2583</v>
      </c>
      <c r="CT991" s="584" t="s">
        <v>2584</v>
      </c>
      <c r="CU991" s="584" t="s">
        <v>3080</v>
      </c>
      <c r="CV991" s="585" t="s">
        <v>3081</v>
      </c>
    </row>
    <row r="992" spans="91:100" ht="25.5" x14ac:dyDescent="0.25">
      <c r="CM992" s="582"/>
      <c r="CN992" s="584" t="s">
        <v>4196</v>
      </c>
      <c r="CO992" s="584" t="s">
        <v>1910</v>
      </c>
      <c r="CP992" s="584" t="s">
        <v>1888</v>
      </c>
      <c r="CQ992" s="584" t="s">
        <v>4197</v>
      </c>
      <c r="CR992" s="584" t="s">
        <v>4197</v>
      </c>
      <c r="CS992" s="584" t="s">
        <v>2583</v>
      </c>
      <c r="CT992" s="584" t="s">
        <v>2584</v>
      </c>
      <c r="CU992" s="584" t="s">
        <v>3080</v>
      </c>
      <c r="CV992" s="585" t="s">
        <v>3081</v>
      </c>
    </row>
    <row r="993" spans="91:100" ht="25.5" x14ac:dyDescent="0.25">
      <c r="CM993" s="582"/>
      <c r="CN993" s="584" t="s">
        <v>4198</v>
      </c>
      <c r="CO993" s="584" t="s">
        <v>1910</v>
      </c>
      <c r="CP993" s="584" t="s">
        <v>1888</v>
      </c>
      <c r="CQ993" s="584" t="s">
        <v>4199</v>
      </c>
      <c r="CR993" s="584" t="s">
        <v>4199</v>
      </c>
      <c r="CS993" s="584" t="s">
        <v>2583</v>
      </c>
      <c r="CT993" s="584" t="s">
        <v>2584</v>
      </c>
      <c r="CU993" s="584" t="s">
        <v>3080</v>
      </c>
      <c r="CV993" s="585" t="s">
        <v>3081</v>
      </c>
    </row>
    <row r="994" spans="91:100" ht="25.5" x14ac:dyDescent="0.25">
      <c r="CM994" s="582"/>
      <c r="CN994" s="584" t="s">
        <v>4200</v>
      </c>
      <c r="CO994" s="584" t="s">
        <v>1910</v>
      </c>
      <c r="CP994" s="584" t="s">
        <v>1888</v>
      </c>
      <c r="CQ994" s="584" t="s">
        <v>4201</v>
      </c>
      <c r="CR994" s="584" t="s">
        <v>4201</v>
      </c>
      <c r="CS994" s="584" t="s">
        <v>2583</v>
      </c>
      <c r="CT994" s="584" t="s">
        <v>2584</v>
      </c>
      <c r="CU994" s="584" t="s">
        <v>3080</v>
      </c>
      <c r="CV994" s="585" t="s">
        <v>3081</v>
      </c>
    </row>
    <row r="995" spans="91:100" x14ac:dyDescent="0.25">
      <c r="CM995" s="582"/>
      <c r="CN995" s="584" t="s">
        <v>4202</v>
      </c>
      <c r="CO995" s="584" t="s">
        <v>1910</v>
      </c>
      <c r="CP995" s="584" t="s">
        <v>1888</v>
      </c>
      <c r="CQ995" s="584" t="s">
        <v>4203</v>
      </c>
      <c r="CR995" s="584" t="s">
        <v>4203</v>
      </c>
      <c r="CS995" s="584" t="s">
        <v>1890</v>
      </c>
      <c r="CT995" s="584" t="s">
        <v>3163</v>
      </c>
      <c r="CU995" s="584" t="s">
        <v>1892</v>
      </c>
      <c r="CV995" s="585" t="s">
        <v>1893</v>
      </c>
    </row>
    <row r="996" spans="91:100" ht="25.5" x14ac:dyDescent="0.25">
      <c r="CM996" s="582"/>
      <c r="CN996" s="584" t="s">
        <v>4204</v>
      </c>
      <c r="CO996" s="584" t="s">
        <v>1910</v>
      </c>
      <c r="CP996" s="584" t="s">
        <v>1888</v>
      </c>
      <c r="CQ996" s="584" t="s">
        <v>4205</v>
      </c>
      <c r="CR996" s="584" t="s">
        <v>4205</v>
      </c>
      <c r="CS996" s="584" t="s">
        <v>2583</v>
      </c>
      <c r="CT996" s="584" t="s">
        <v>2584</v>
      </c>
      <c r="CU996" s="584" t="s">
        <v>3080</v>
      </c>
      <c r="CV996" s="585" t="s">
        <v>3081</v>
      </c>
    </row>
    <row r="997" spans="91:100" ht="25.5" x14ac:dyDescent="0.25">
      <c r="CM997" s="582"/>
      <c r="CN997" s="584" t="s">
        <v>4206</v>
      </c>
      <c r="CO997" s="584" t="s">
        <v>1910</v>
      </c>
      <c r="CP997" s="584" t="s">
        <v>1888</v>
      </c>
      <c r="CQ997" s="584" t="s">
        <v>4207</v>
      </c>
      <c r="CR997" s="584" t="s">
        <v>4207</v>
      </c>
      <c r="CS997" s="584" t="s">
        <v>2583</v>
      </c>
      <c r="CT997" s="584" t="s">
        <v>2584</v>
      </c>
      <c r="CU997" s="584" t="s">
        <v>3080</v>
      </c>
      <c r="CV997" s="585" t="s">
        <v>3081</v>
      </c>
    </row>
    <row r="998" spans="91:100" ht="25.5" x14ac:dyDescent="0.25">
      <c r="CM998" s="582"/>
      <c r="CN998" s="584" t="s">
        <v>4208</v>
      </c>
      <c r="CO998" s="584" t="s">
        <v>1910</v>
      </c>
      <c r="CP998" s="584" t="s">
        <v>1888</v>
      </c>
      <c r="CQ998" s="584" t="s">
        <v>4209</v>
      </c>
      <c r="CR998" s="584" t="s">
        <v>4209</v>
      </c>
      <c r="CS998" s="584" t="s">
        <v>2583</v>
      </c>
      <c r="CT998" s="584" t="s">
        <v>2584</v>
      </c>
      <c r="CU998" s="584" t="s">
        <v>3080</v>
      </c>
      <c r="CV998" s="585" t="s">
        <v>3081</v>
      </c>
    </row>
    <row r="999" spans="91:100" ht="25.5" x14ac:dyDescent="0.25">
      <c r="CM999" s="582"/>
      <c r="CN999" s="584" t="s">
        <v>4210</v>
      </c>
      <c r="CO999" s="584" t="s">
        <v>1910</v>
      </c>
      <c r="CP999" s="584" t="s">
        <v>1888</v>
      </c>
      <c r="CQ999" s="584" t="s">
        <v>4211</v>
      </c>
      <c r="CR999" s="584" t="s">
        <v>4211</v>
      </c>
      <c r="CS999" s="584" t="s">
        <v>2583</v>
      </c>
      <c r="CT999" s="584" t="s">
        <v>2584</v>
      </c>
      <c r="CU999" s="584" t="s">
        <v>3080</v>
      </c>
      <c r="CV999" s="585" t="s">
        <v>3081</v>
      </c>
    </row>
    <row r="1000" spans="91:100" ht="25.5" x14ac:dyDescent="0.25">
      <c r="CM1000" s="582"/>
      <c r="CN1000" s="584" t="s">
        <v>4212</v>
      </c>
      <c r="CO1000" s="584" t="s">
        <v>1910</v>
      </c>
      <c r="CP1000" s="584" t="s">
        <v>1888</v>
      </c>
      <c r="CQ1000" s="584" t="s">
        <v>4213</v>
      </c>
      <c r="CR1000" s="584" t="s">
        <v>4213</v>
      </c>
      <c r="CS1000" s="584" t="s">
        <v>2583</v>
      </c>
      <c r="CT1000" s="584" t="s">
        <v>2584</v>
      </c>
      <c r="CU1000" s="584" t="s">
        <v>3080</v>
      </c>
      <c r="CV1000" s="585" t="s">
        <v>3081</v>
      </c>
    </row>
    <row r="1001" spans="91:100" x14ac:dyDescent="0.25">
      <c r="CM1001" s="582"/>
      <c r="CN1001" s="584" t="s">
        <v>4214</v>
      </c>
      <c r="CO1001" s="584" t="s">
        <v>1910</v>
      </c>
      <c r="CP1001" s="584" t="s">
        <v>1888</v>
      </c>
      <c r="CQ1001" s="584" t="s">
        <v>4215</v>
      </c>
      <c r="CR1001" s="584" t="s">
        <v>4215</v>
      </c>
      <c r="CS1001" s="584" t="s">
        <v>1890</v>
      </c>
      <c r="CT1001" s="584" t="s">
        <v>3163</v>
      </c>
      <c r="CU1001" s="584" t="s">
        <v>1892</v>
      </c>
      <c r="CV1001" s="585" t="s">
        <v>1893</v>
      </c>
    </row>
    <row r="1002" spans="91:100" x14ac:dyDescent="0.25">
      <c r="CM1002" s="582"/>
      <c r="CN1002" s="584" t="s">
        <v>4216</v>
      </c>
      <c r="CO1002" s="584" t="s">
        <v>1910</v>
      </c>
      <c r="CP1002" s="584" t="s">
        <v>1888</v>
      </c>
      <c r="CQ1002" s="584" t="s">
        <v>4217</v>
      </c>
      <c r="CR1002" s="584" t="s">
        <v>4218</v>
      </c>
      <c r="CS1002" s="584" t="s">
        <v>1890</v>
      </c>
      <c r="CT1002" s="584" t="s">
        <v>3163</v>
      </c>
      <c r="CU1002" s="584" t="s">
        <v>1892</v>
      </c>
      <c r="CV1002" s="585" t="s">
        <v>1893</v>
      </c>
    </row>
    <row r="1003" spans="91:100" x14ac:dyDescent="0.25">
      <c r="CM1003" s="582"/>
      <c r="CN1003" s="584" t="s">
        <v>4219</v>
      </c>
      <c r="CO1003" s="584" t="s">
        <v>1910</v>
      </c>
      <c r="CP1003" s="584" t="s">
        <v>1888</v>
      </c>
      <c r="CQ1003" s="584" t="s">
        <v>4220</v>
      </c>
      <c r="CR1003" s="584" t="s">
        <v>4221</v>
      </c>
      <c r="CS1003" s="584" t="s">
        <v>1890</v>
      </c>
      <c r="CT1003" s="584" t="s">
        <v>3163</v>
      </c>
      <c r="CU1003" s="584" t="s">
        <v>1892</v>
      </c>
      <c r="CV1003" s="585" t="s">
        <v>1893</v>
      </c>
    </row>
    <row r="1004" spans="91:100" x14ac:dyDescent="0.25">
      <c r="CM1004" s="582"/>
      <c r="CN1004" s="584" t="s">
        <v>4222</v>
      </c>
      <c r="CO1004" s="584" t="s">
        <v>1910</v>
      </c>
      <c r="CP1004" s="584" t="s">
        <v>1888</v>
      </c>
      <c r="CQ1004" s="584" t="s">
        <v>4223</v>
      </c>
      <c r="CR1004" s="584" t="s">
        <v>4224</v>
      </c>
      <c r="CS1004" s="584" t="s">
        <v>1890</v>
      </c>
      <c r="CT1004" s="584" t="s">
        <v>3163</v>
      </c>
      <c r="CU1004" s="584" t="s">
        <v>1892</v>
      </c>
      <c r="CV1004" s="585" t="s">
        <v>1893</v>
      </c>
    </row>
    <row r="1005" spans="91:100" x14ac:dyDescent="0.25">
      <c r="CM1005" s="582"/>
      <c r="CN1005" s="584" t="s">
        <v>4225</v>
      </c>
      <c r="CO1005" s="584" t="s">
        <v>1910</v>
      </c>
      <c r="CP1005" s="584" t="s">
        <v>1888</v>
      </c>
      <c r="CQ1005" s="584" t="s">
        <v>4226</v>
      </c>
      <c r="CR1005" s="584" t="s">
        <v>4227</v>
      </c>
      <c r="CS1005" s="584" t="s">
        <v>1890</v>
      </c>
      <c r="CT1005" s="584" t="s">
        <v>3163</v>
      </c>
      <c r="CU1005" s="584" t="s">
        <v>1892</v>
      </c>
      <c r="CV1005" s="585" t="s">
        <v>1893</v>
      </c>
    </row>
    <row r="1006" spans="91:100" ht="25.5" x14ac:dyDescent="0.25">
      <c r="CM1006" s="582"/>
      <c r="CN1006" s="584" t="s">
        <v>4228</v>
      </c>
      <c r="CO1006" s="584" t="s">
        <v>1910</v>
      </c>
      <c r="CP1006" s="584" t="s">
        <v>1888</v>
      </c>
      <c r="CQ1006" s="584" t="s">
        <v>4229</v>
      </c>
      <c r="CR1006" s="584" t="s">
        <v>4229</v>
      </c>
      <c r="CS1006" s="584" t="s">
        <v>2583</v>
      </c>
      <c r="CT1006" s="584" t="s">
        <v>2584</v>
      </c>
      <c r="CU1006" s="584" t="s">
        <v>3080</v>
      </c>
      <c r="CV1006" s="585" t="s">
        <v>3081</v>
      </c>
    </row>
    <row r="1007" spans="91:100" ht="25.5" x14ac:dyDescent="0.25">
      <c r="CM1007" s="582"/>
      <c r="CN1007" s="584" t="s">
        <v>4230</v>
      </c>
      <c r="CO1007" s="584" t="s">
        <v>1910</v>
      </c>
      <c r="CP1007" s="584" t="s">
        <v>1888</v>
      </c>
      <c r="CQ1007" s="584" t="s">
        <v>4231</v>
      </c>
      <c r="CR1007" s="584" t="s">
        <v>4231</v>
      </c>
      <c r="CS1007" s="584" t="s">
        <v>2583</v>
      </c>
      <c r="CT1007" s="584" t="s">
        <v>2584</v>
      </c>
      <c r="CU1007" s="584" t="s">
        <v>3080</v>
      </c>
      <c r="CV1007" s="585" t="s">
        <v>3081</v>
      </c>
    </row>
    <row r="1008" spans="91:100" ht="25.5" x14ac:dyDescent="0.25">
      <c r="CM1008" s="582"/>
      <c r="CN1008" s="584" t="s">
        <v>4232</v>
      </c>
      <c r="CO1008" s="584" t="s">
        <v>1910</v>
      </c>
      <c r="CP1008" s="584" t="s">
        <v>1888</v>
      </c>
      <c r="CQ1008" s="584" t="s">
        <v>4233</v>
      </c>
      <c r="CR1008" s="584" t="s">
        <v>4233</v>
      </c>
      <c r="CS1008" s="584" t="s">
        <v>2583</v>
      </c>
      <c r="CT1008" s="584" t="s">
        <v>2584</v>
      </c>
      <c r="CU1008" s="584" t="s">
        <v>3080</v>
      </c>
      <c r="CV1008" s="585" t="s">
        <v>3081</v>
      </c>
    </row>
    <row r="1009" spans="91:100" ht="25.5" x14ac:dyDescent="0.25">
      <c r="CM1009" s="582"/>
      <c r="CN1009" s="584" t="s">
        <v>4234</v>
      </c>
      <c r="CO1009" s="584" t="s">
        <v>1910</v>
      </c>
      <c r="CP1009" s="584" t="s">
        <v>1888</v>
      </c>
      <c r="CQ1009" s="584" t="s">
        <v>4235</v>
      </c>
      <c r="CR1009" s="584" t="s">
        <v>4235</v>
      </c>
      <c r="CS1009" s="584" t="s">
        <v>2583</v>
      </c>
      <c r="CT1009" s="584" t="s">
        <v>2584</v>
      </c>
      <c r="CU1009" s="584" t="s">
        <v>3080</v>
      </c>
      <c r="CV1009" s="585" t="s">
        <v>3081</v>
      </c>
    </row>
    <row r="1010" spans="91:100" ht="25.5" x14ac:dyDescent="0.25">
      <c r="CM1010" s="582"/>
      <c r="CN1010" s="584" t="s">
        <v>4236</v>
      </c>
      <c r="CO1010" s="584" t="s">
        <v>1910</v>
      </c>
      <c r="CP1010" s="584" t="s">
        <v>1888</v>
      </c>
      <c r="CQ1010" s="584" t="s">
        <v>4237</v>
      </c>
      <c r="CR1010" s="584" t="s">
        <v>4237</v>
      </c>
      <c r="CS1010" s="584" t="s">
        <v>2583</v>
      </c>
      <c r="CT1010" s="584" t="s">
        <v>2584</v>
      </c>
      <c r="CU1010" s="584" t="s">
        <v>3080</v>
      </c>
      <c r="CV1010" s="585" t="s">
        <v>3081</v>
      </c>
    </row>
    <row r="1011" spans="91:100" ht="25.5" x14ac:dyDescent="0.25">
      <c r="CM1011" s="582"/>
      <c r="CN1011" s="584" t="s">
        <v>4238</v>
      </c>
      <c r="CO1011" s="584" t="s">
        <v>1910</v>
      </c>
      <c r="CP1011" s="584" t="s">
        <v>1888</v>
      </c>
      <c r="CQ1011" s="584" t="s">
        <v>4239</v>
      </c>
      <c r="CR1011" s="584" t="s">
        <v>4239</v>
      </c>
      <c r="CS1011" s="584" t="s">
        <v>2583</v>
      </c>
      <c r="CT1011" s="584" t="s">
        <v>2584</v>
      </c>
      <c r="CU1011" s="584" t="s">
        <v>3080</v>
      </c>
      <c r="CV1011" s="585" t="s">
        <v>3081</v>
      </c>
    </row>
    <row r="1012" spans="91:100" ht="25.5" x14ac:dyDescent="0.25">
      <c r="CM1012" s="582"/>
      <c r="CN1012" s="584" t="s">
        <v>4240</v>
      </c>
      <c r="CO1012" s="584" t="s">
        <v>1910</v>
      </c>
      <c r="CP1012" s="584" t="s">
        <v>1888</v>
      </c>
      <c r="CQ1012" s="584" t="s">
        <v>4241</v>
      </c>
      <c r="CR1012" s="584" t="s">
        <v>4241</v>
      </c>
      <c r="CS1012" s="584" t="s">
        <v>2583</v>
      </c>
      <c r="CT1012" s="584" t="s">
        <v>2584</v>
      </c>
      <c r="CU1012" s="584" t="s">
        <v>3080</v>
      </c>
      <c r="CV1012" s="585" t="s">
        <v>3081</v>
      </c>
    </row>
    <row r="1013" spans="91:100" ht="25.5" x14ac:dyDescent="0.25">
      <c r="CM1013" s="582"/>
      <c r="CN1013" s="584" t="s">
        <v>4242</v>
      </c>
      <c r="CO1013" s="584" t="s">
        <v>1910</v>
      </c>
      <c r="CP1013" s="584" t="s">
        <v>1888</v>
      </c>
      <c r="CQ1013" s="584" t="s">
        <v>4243</v>
      </c>
      <c r="CR1013" s="584" t="s">
        <v>4243</v>
      </c>
      <c r="CS1013" s="584" t="s">
        <v>2583</v>
      </c>
      <c r="CT1013" s="584" t="s">
        <v>2584</v>
      </c>
      <c r="CU1013" s="584" t="s">
        <v>3080</v>
      </c>
      <c r="CV1013" s="585" t="s">
        <v>3081</v>
      </c>
    </row>
    <row r="1014" spans="91:100" ht="25.5" x14ac:dyDescent="0.25">
      <c r="CM1014" s="582"/>
      <c r="CN1014" s="584" t="s">
        <v>4244</v>
      </c>
      <c r="CO1014" s="584" t="s">
        <v>1910</v>
      </c>
      <c r="CP1014" s="584" t="s">
        <v>1888</v>
      </c>
      <c r="CQ1014" s="584" t="s">
        <v>4245</v>
      </c>
      <c r="CR1014" s="584" t="s">
        <v>4245</v>
      </c>
      <c r="CS1014" s="584" t="s">
        <v>2583</v>
      </c>
      <c r="CT1014" s="584" t="s">
        <v>2584</v>
      </c>
      <c r="CU1014" s="584" t="s">
        <v>3080</v>
      </c>
      <c r="CV1014" s="585" t="s">
        <v>3081</v>
      </c>
    </row>
    <row r="1015" spans="91:100" ht="25.5" x14ac:dyDescent="0.25">
      <c r="CM1015" s="582"/>
      <c r="CN1015" s="584" t="s">
        <v>4246</v>
      </c>
      <c r="CO1015" s="584" t="s">
        <v>1910</v>
      </c>
      <c r="CP1015" s="584" t="s">
        <v>1888</v>
      </c>
      <c r="CQ1015" s="584" t="s">
        <v>4247</v>
      </c>
      <c r="CR1015" s="584" t="s">
        <v>4247</v>
      </c>
      <c r="CS1015" s="584" t="s">
        <v>2583</v>
      </c>
      <c r="CT1015" s="584" t="s">
        <v>2584</v>
      </c>
      <c r="CU1015" s="584" t="s">
        <v>3080</v>
      </c>
      <c r="CV1015" s="585" t="s">
        <v>3081</v>
      </c>
    </row>
    <row r="1016" spans="91:100" ht="25.5" x14ac:dyDescent="0.25">
      <c r="CM1016" s="582"/>
      <c r="CN1016" s="584" t="s">
        <v>4248</v>
      </c>
      <c r="CO1016" s="584" t="s">
        <v>1910</v>
      </c>
      <c r="CP1016" s="584" t="s">
        <v>1888</v>
      </c>
      <c r="CQ1016" s="584" t="s">
        <v>4249</v>
      </c>
      <c r="CR1016" s="584" t="s">
        <v>4249</v>
      </c>
      <c r="CS1016" s="584" t="s">
        <v>2583</v>
      </c>
      <c r="CT1016" s="584" t="s">
        <v>2584</v>
      </c>
      <c r="CU1016" s="584" t="s">
        <v>3080</v>
      </c>
      <c r="CV1016" s="585" t="s">
        <v>3081</v>
      </c>
    </row>
    <row r="1017" spans="91:100" ht="25.5" x14ac:dyDescent="0.25">
      <c r="CM1017" s="582"/>
      <c r="CN1017" s="584" t="s">
        <v>4250</v>
      </c>
      <c r="CO1017" s="584" t="s">
        <v>1910</v>
      </c>
      <c r="CP1017" s="584" t="s">
        <v>1888</v>
      </c>
      <c r="CQ1017" s="584" t="s">
        <v>4251</v>
      </c>
      <c r="CR1017" s="584" t="s">
        <v>4251</v>
      </c>
      <c r="CS1017" s="584" t="s">
        <v>2583</v>
      </c>
      <c r="CT1017" s="584" t="s">
        <v>2584</v>
      </c>
      <c r="CU1017" s="584" t="s">
        <v>3080</v>
      </c>
      <c r="CV1017" s="585" t="s">
        <v>3081</v>
      </c>
    </row>
    <row r="1018" spans="91:100" ht="25.5" x14ac:dyDescent="0.25">
      <c r="CM1018" s="582"/>
      <c r="CN1018" s="584" t="s">
        <v>4252</v>
      </c>
      <c r="CO1018" s="584" t="s">
        <v>1910</v>
      </c>
      <c r="CP1018" s="584" t="s">
        <v>1888</v>
      </c>
      <c r="CQ1018" s="584" t="s">
        <v>4253</v>
      </c>
      <c r="CR1018" s="584" t="s">
        <v>4253</v>
      </c>
      <c r="CS1018" s="584" t="s">
        <v>2583</v>
      </c>
      <c r="CT1018" s="584" t="s">
        <v>2584</v>
      </c>
      <c r="CU1018" s="584" t="s">
        <v>3080</v>
      </c>
      <c r="CV1018" s="585" t="s">
        <v>3081</v>
      </c>
    </row>
    <row r="1019" spans="91:100" ht="25.5" x14ac:dyDescent="0.25">
      <c r="CM1019" s="582"/>
      <c r="CN1019" s="584" t="s">
        <v>4254</v>
      </c>
      <c r="CO1019" s="584" t="s">
        <v>1910</v>
      </c>
      <c r="CP1019" s="584" t="s">
        <v>1888</v>
      </c>
      <c r="CQ1019" s="584" t="s">
        <v>4255</v>
      </c>
      <c r="CR1019" s="584" t="s">
        <v>4255</v>
      </c>
      <c r="CS1019" s="584" t="s">
        <v>2583</v>
      </c>
      <c r="CT1019" s="584" t="s">
        <v>2584</v>
      </c>
      <c r="CU1019" s="584" t="s">
        <v>3080</v>
      </c>
      <c r="CV1019" s="585" t="s">
        <v>3081</v>
      </c>
    </row>
    <row r="1020" spans="91:100" ht="25.5" x14ac:dyDescent="0.25">
      <c r="CM1020" s="582"/>
      <c r="CN1020" s="584" t="s">
        <v>4256</v>
      </c>
      <c r="CO1020" s="584" t="s">
        <v>1910</v>
      </c>
      <c r="CP1020" s="584" t="s">
        <v>1888</v>
      </c>
      <c r="CQ1020" s="584" t="s">
        <v>4257</v>
      </c>
      <c r="CR1020" s="584" t="s">
        <v>4257</v>
      </c>
      <c r="CS1020" s="584" t="s">
        <v>2583</v>
      </c>
      <c r="CT1020" s="584" t="s">
        <v>2584</v>
      </c>
      <c r="CU1020" s="584" t="s">
        <v>3080</v>
      </c>
      <c r="CV1020" s="585" t="s">
        <v>3081</v>
      </c>
    </row>
    <row r="1021" spans="91:100" ht="25.5" x14ac:dyDescent="0.25">
      <c r="CM1021" s="582"/>
      <c r="CN1021" s="584" t="s">
        <v>4258</v>
      </c>
      <c r="CO1021" s="584" t="s">
        <v>1910</v>
      </c>
      <c r="CP1021" s="584" t="s">
        <v>1888</v>
      </c>
      <c r="CQ1021" s="584" t="s">
        <v>4259</v>
      </c>
      <c r="CR1021" s="584" t="s">
        <v>4259</v>
      </c>
      <c r="CS1021" s="584" t="s">
        <v>2583</v>
      </c>
      <c r="CT1021" s="584" t="s">
        <v>2584</v>
      </c>
      <c r="CU1021" s="584" t="s">
        <v>3080</v>
      </c>
      <c r="CV1021" s="585" t="s">
        <v>3081</v>
      </c>
    </row>
    <row r="1022" spans="91:100" ht="25.5" x14ac:dyDescent="0.25">
      <c r="CM1022" s="582"/>
      <c r="CN1022" s="584" t="s">
        <v>4260</v>
      </c>
      <c r="CO1022" s="584" t="s">
        <v>1910</v>
      </c>
      <c r="CP1022" s="584" t="s">
        <v>1888</v>
      </c>
      <c r="CQ1022" s="584" t="s">
        <v>4261</v>
      </c>
      <c r="CR1022" s="584" t="s">
        <v>4261</v>
      </c>
      <c r="CS1022" s="584" t="s">
        <v>2583</v>
      </c>
      <c r="CT1022" s="584" t="s">
        <v>2584</v>
      </c>
      <c r="CU1022" s="584" t="s">
        <v>3080</v>
      </c>
      <c r="CV1022" s="585" t="s">
        <v>3081</v>
      </c>
    </row>
    <row r="1023" spans="91:100" ht="25.5" x14ac:dyDescent="0.25">
      <c r="CM1023" s="582"/>
      <c r="CN1023" s="584" t="s">
        <v>4262</v>
      </c>
      <c r="CO1023" s="584" t="s">
        <v>1910</v>
      </c>
      <c r="CP1023" s="584" t="s">
        <v>1888</v>
      </c>
      <c r="CQ1023" s="584" t="s">
        <v>4263</v>
      </c>
      <c r="CR1023" s="584" t="s">
        <v>4263</v>
      </c>
      <c r="CS1023" s="584" t="s">
        <v>2583</v>
      </c>
      <c r="CT1023" s="584" t="s">
        <v>2584</v>
      </c>
      <c r="CU1023" s="584" t="s">
        <v>3080</v>
      </c>
      <c r="CV1023" s="585" t="s">
        <v>3081</v>
      </c>
    </row>
    <row r="1024" spans="91:100" ht="25.5" x14ac:dyDescent="0.25">
      <c r="CM1024" s="582"/>
      <c r="CN1024" s="584" t="s">
        <v>4264</v>
      </c>
      <c r="CO1024" s="584" t="s">
        <v>1910</v>
      </c>
      <c r="CP1024" s="584" t="s">
        <v>1888</v>
      </c>
      <c r="CQ1024" s="584" t="s">
        <v>4265</v>
      </c>
      <c r="CR1024" s="584" t="s">
        <v>4265</v>
      </c>
      <c r="CS1024" s="584" t="s">
        <v>2583</v>
      </c>
      <c r="CT1024" s="584" t="s">
        <v>2584</v>
      </c>
      <c r="CU1024" s="584" t="s">
        <v>3080</v>
      </c>
      <c r="CV1024" s="585" t="s">
        <v>3081</v>
      </c>
    </row>
    <row r="1025" spans="91:100" ht="25.5" x14ac:dyDescent="0.25">
      <c r="CM1025" s="582"/>
      <c r="CN1025" s="584" t="s">
        <v>4266</v>
      </c>
      <c r="CO1025" s="584" t="s">
        <v>1910</v>
      </c>
      <c r="CP1025" s="584" t="s">
        <v>1888</v>
      </c>
      <c r="CQ1025" s="584" t="s">
        <v>4267</v>
      </c>
      <c r="CR1025" s="584" t="s">
        <v>4267</v>
      </c>
      <c r="CS1025" s="584" t="s">
        <v>2583</v>
      </c>
      <c r="CT1025" s="584" t="s">
        <v>2584</v>
      </c>
      <c r="CU1025" s="584" t="s">
        <v>3080</v>
      </c>
      <c r="CV1025" s="585" t="s">
        <v>3081</v>
      </c>
    </row>
    <row r="1026" spans="91:100" ht="25.5" x14ac:dyDescent="0.25">
      <c r="CM1026" s="582"/>
      <c r="CN1026" s="584" t="s">
        <v>4268</v>
      </c>
      <c r="CO1026" s="584" t="s">
        <v>1910</v>
      </c>
      <c r="CP1026" s="584" t="s">
        <v>1888</v>
      </c>
      <c r="CQ1026" s="584" t="s">
        <v>4269</v>
      </c>
      <c r="CR1026" s="584" t="s">
        <v>4269</v>
      </c>
      <c r="CS1026" s="584" t="s">
        <v>2583</v>
      </c>
      <c r="CT1026" s="584" t="s">
        <v>2584</v>
      </c>
      <c r="CU1026" s="584" t="s">
        <v>3080</v>
      </c>
      <c r="CV1026" s="585" t="s">
        <v>3081</v>
      </c>
    </row>
    <row r="1027" spans="91:100" ht="25.5" x14ac:dyDescent="0.25">
      <c r="CM1027" s="582"/>
      <c r="CN1027" s="584" t="s">
        <v>4270</v>
      </c>
      <c r="CO1027" s="584" t="s">
        <v>1910</v>
      </c>
      <c r="CP1027" s="584" t="s">
        <v>1888</v>
      </c>
      <c r="CQ1027" s="584" t="s">
        <v>4271</v>
      </c>
      <c r="CR1027" s="584" t="s">
        <v>4271</v>
      </c>
      <c r="CS1027" s="584" t="s">
        <v>2583</v>
      </c>
      <c r="CT1027" s="584" t="s">
        <v>2584</v>
      </c>
      <c r="CU1027" s="584" t="s">
        <v>3080</v>
      </c>
      <c r="CV1027" s="585" t="s">
        <v>3081</v>
      </c>
    </row>
    <row r="1028" spans="91:100" ht="25.5" x14ac:dyDescent="0.25">
      <c r="CM1028" s="582"/>
      <c r="CN1028" s="584" t="s">
        <v>4272</v>
      </c>
      <c r="CO1028" s="584" t="s">
        <v>1910</v>
      </c>
      <c r="CP1028" s="584" t="s">
        <v>1888</v>
      </c>
      <c r="CQ1028" s="584" t="s">
        <v>4273</v>
      </c>
      <c r="CR1028" s="584" t="s">
        <v>4273</v>
      </c>
      <c r="CS1028" s="584" t="s">
        <v>2583</v>
      </c>
      <c r="CT1028" s="584" t="s">
        <v>2584</v>
      </c>
      <c r="CU1028" s="584" t="s">
        <v>3080</v>
      </c>
      <c r="CV1028" s="585" t="s">
        <v>3081</v>
      </c>
    </row>
    <row r="1029" spans="91:100" ht="25.5" x14ac:dyDescent="0.25">
      <c r="CM1029" s="582"/>
      <c r="CN1029" s="584" t="s">
        <v>4274</v>
      </c>
      <c r="CO1029" s="584" t="s">
        <v>1910</v>
      </c>
      <c r="CP1029" s="584" t="s">
        <v>1888</v>
      </c>
      <c r="CQ1029" s="584" t="s">
        <v>4275</v>
      </c>
      <c r="CR1029" s="584" t="s">
        <v>4275</v>
      </c>
      <c r="CS1029" s="584" t="s">
        <v>2583</v>
      </c>
      <c r="CT1029" s="584" t="s">
        <v>2584</v>
      </c>
      <c r="CU1029" s="584" t="s">
        <v>3080</v>
      </c>
      <c r="CV1029" s="585" t="s">
        <v>3081</v>
      </c>
    </row>
    <row r="1030" spans="91:100" ht="25.5" x14ac:dyDescent="0.25">
      <c r="CM1030" s="582"/>
      <c r="CN1030" s="584" t="s">
        <v>4276</v>
      </c>
      <c r="CO1030" s="584" t="s">
        <v>1910</v>
      </c>
      <c r="CP1030" s="584" t="s">
        <v>1888</v>
      </c>
      <c r="CQ1030" s="584" t="s">
        <v>4277</v>
      </c>
      <c r="CR1030" s="584" t="s">
        <v>4277</v>
      </c>
      <c r="CS1030" s="584" t="s">
        <v>2583</v>
      </c>
      <c r="CT1030" s="584" t="s">
        <v>2584</v>
      </c>
      <c r="CU1030" s="584" t="s">
        <v>3080</v>
      </c>
      <c r="CV1030" s="585" t="s">
        <v>3081</v>
      </c>
    </row>
    <row r="1031" spans="91:100" ht="25.5" x14ac:dyDescent="0.25">
      <c r="CM1031" s="582"/>
      <c r="CN1031" s="584" t="s">
        <v>4278</v>
      </c>
      <c r="CO1031" s="584" t="s">
        <v>1910</v>
      </c>
      <c r="CP1031" s="584" t="s">
        <v>1888</v>
      </c>
      <c r="CQ1031" s="584" t="s">
        <v>4279</v>
      </c>
      <c r="CR1031" s="584" t="s">
        <v>4279</v>
      </c>
      <c r="CS1031" s="584" t="s">
        <v>2583</v>
      </c>
      <c r="CT1031" s="584" t="s">
        <v>2584</v>
      </c>
      <c r="CU1031" s="584" t="s">
        <v>3080</v>
      </c>
      <c r="CV1031" s="585" t="s">
        <v>3081</v>
      </c>
    </row>
    <row r="1032" spans="91:100" ht="25.5" x14ac:dyDescent="0.25">
      <c r="CM1032" s="582"/>
      <c r="CN1032" s="584" t="s">
        <v>4280</v>
      </c>
      <c r="CO1032" s="584" t="s">
        <v>1910</v>
      </c>
      <c r="CP1032" s="584" t="s">
        <v>1888</v>
      </c>
      <c r="CQ1032" s="584" t="s">
        <v>4281</v>
      </c>
      <c r="CR1032" s="584" t="s">
        <v>4281</v>
      </c>
      <c r="CS1032" s="584" t="s">
        <v>2583</v>
      </c>
      <c r="CT1032" s="584" t="s">
        <v>2584</v>
      </c>
      <c r="CU1032" s="584" t="s">
        <v>3080</v>
      </c>
      <c r="CV1032" s="585" t="s">
        <v>3081</v>
      </c>
    </row>
    <row r="1033" spans="91:100" ht="25.5" x14ac:dyDescent="0.25">
      <c r="CM1033" s="582"/>
      <c r="CN1033" s="584" t="s">
        <v>4282</v>
      </c>
      <c r="CO1033" s="584" t="s">
        <v>1910</v>
      </c>
      <c r="CP1033" s="584" t="s">
        <v>1888</v>
      </c>
      <c r="CQ1033" s="584" t="s">
        <v>4283</v>
      </c>
      <c r="CR1033" s="584" t="s">
        <v>4283</v>
      </c>
      <c r="CS1033" s="584" t="s">
        <v>2583</v>
      </c>
      <c r="CT1033" s="584" t="s">
        <v>2584</v>
      </c>
      <c r="CU1033" s="584" t="s">
        <v>3080</v>
      </c>
      <c r="CV1033" s="585" t="s">
        <v>3081</v>
      </c>
    </row>
    <row r="1034" spans="91:100" ht="25.5" x14ac:dyDescent="0.25">
      <c r="CM1034" s="582"/>
      <c r="CN1034" s="584" t="s">
        <v>4284</v>
      </c>
      <c r="CO1034" s="584" t="s">
        <v>1910</v>
      </c>
      <c r="CP1034" s="584" t="s">
        <v>1888</v>
      </c>
      <c r="CQ1034" s="584" t="s">
        <v>4285</v>
      </c>
      <c r="CR1034" s="584" t="s">
        <v>4285</v>
      </c>
      <c r="CS1034" s="584" t="s">
        <v>2583</v>
      </c>
      <c r="CT1034" s="584" t="s">
        <v>2584</v>
      </c>
      <c r="CU1034" s="584" t="s">
        <v>3080</v>
      </c>
      <c r="CV1034" s="585" t="s">
        <v>3081</v>
      </c>
    </row>
    <row r="1035" spans="91:100" ht="25.5" x14ac:dyDescent="0.25">
      <c r="CM1035" s="582"/>
      <c r="CN1035" s="584" t="s">
        <v>4286</v>
      </c>
      <c r="CO1035" s="584" t="s">
        <v>1910</v>
      </c>
      <c r="CP1035" s="584" t="s">
        <v>1888</v>
      </c>
      <c r="CQ1035" s="584" t="s">
        <v>4287</v>
      </c>
      <c r="CR1035" s="584" t="s">
        <v>4287</v>
      </c>
      <c r="CS1035" s="584" t="s">
        <v>2583</v>
      </c>
      <c r="CT1035" s="584" t="s">
        <v>2584</v>
      </c>
      <c r="CU1035" s="584" t="s">
        <v>3080</v>
      </c>
      <c r="CV1035" s="585" t="s">
        <v>3081</v>
      </c>
    </row>
    <row r="1036" spans="91:100" ht="25.5" x14ac:dyDescent="0.25">
      <c r="CM1036" s="582"/>
      <c r="CN1036" s="584" t="s">
        <v>4288</v>
      </c>
      <c r="CO1036" s="584" t="s">
        <v>1910</v>
      </c>
      <c r="CP1036" s="584" t="s">
        <v>1888</v>
      </c>
      <c r="CQ1036" s="584" t="s">
        <v>4289</v>
      </c>
      <c r="CR1036" s="584" t="s">
        <v>4289</v>
      </c>
      <c r="CS1036" s="584" t="s">
        <v>2583</v>
      </c>
      <c r="CT1036" s="584" t="s">
        <v>2584</v>
      </c>
      <c r="CU1036" s="584" t="s">
        <v>3080</v>
      </c>
      <c r="CV1036" s="585" t="s">
        <v>3081</v>
      </c>
    </row>
    <row r="1037" spans="91:100" ht="25.5" x14ac:dyDescent="0.25">
      <c r="CM1037" s="582"/>
      <c r="CN1037" s="584" t="s">
        <v>4290</v>
      </c>
      <c r="CO1037" s="584" t="s">
        <v>1910</v>
      </c>
      <c r="CP1037" s="584" t="s">
        <v>1888</v>
      </c>
      <c r="CQ1037" s="584" t="s">
        <v>4291</v>
      </c>
      <c r="CR1037" s="584" t="s">
        <v>4291</v>
      </c>
      <c r="CS1037" s="584" t="s">
        <v>2583</v>
      </c>
      <c r="CT1037" s="584" t="s">
        <v>2584</v>
      </c>
      <c r="CU1037" s="584" t="s">
        <v>3080</v>
      </c>
      <c r="CV1037" s="585" t="s">
        <v>3081</v>
      </c>
    </row>
    <row r="1038" spans="91:100" ht="25.5" x14ac:dyDescent="0.25">
      <c r="CM1038" s="582"/>
      <c r="CN1038" s="584" t="s">
        <v>4292</v>
      </c>
      <c r="CO1038" s="584" t="s">
        <v>1910</v>
      </c>
      <c r="CP1038" s="584" t="s">
        <v>1888</v>
      </c>
      <c r="CQ1038" s="584" t="s">
        <v>4293</v>
      </c>
      <c r="CR1038" s="584" t="s">
        <v>4293</v>
      </c>
      <c r="CS1038" s="584" t="s">
        <v>2583</v>
      </c>
      <c r="CT1038" s="584" t="s">
        <v>2584</v>
      </c>
      <c r="CU1038" s="584" t="s">
        <v>3080</v>
      </c>
      <c r="CV1038" s="585" t="s">
        <v>3081</v>
      </c>
    </row>
    <row r="1039" spans="91:100" ht="25.5" x14ac:dyDescent="0.25">
      <c r="CM1039" s="582"/>
      <c r="CN1039" s="584" t="s">
        <v>4294</v>
      </c>
      <c r="CO1039" s="584" t="s">
        <v>1910</v>
      </c>
      <c r="CP1039" s="584" t="s">
        <v>1888</v>
      </c>
      <c r="CQ1039" s="584" t="s">
        <v>4295</v>
      </c>
      <c r="CR1039" s="584" t="s">
        <v>4295</v>
      </c>
      <c r="CS1039" s="584" t="s">
        <v>2583</v>
      </c>
      <c r="CT1039" s="584" t="s">
        <v>2584</v>
      </c>
      <c r="CU1039" s="584" t="s">
        <v>3080</v>
      </c>
      <c r="CV1039" s="585" t="s">
        <v>3081</v>
      </c>
    </row>
    <row r="1040" spans="91:100" ht="25.5" x14ac:dyDescent="0.25">
      <c r="CM1040" s="582"/>
      <c r="CN1040" s="584" t="s">
        <v>4296</v>
      </c>
      <c r="CO1040" s="584" t="s">
        <v>1910</v>
      </c>
      <c r="CP1040" s="584" t="s">
        <v>1888</v>
      </c>
      <c r="CQ1040" s="584" t="s">
        <v>4297</v>
      </c>
      <c r="CR1040" s="584" t="s">
        <v>4297</v>
      </c>
      <c r="CS1040" s="584" t="s">
        <v>2583</v>
      </c>
      <c r="CT1040" s="584" t="s">
        <v>2584</v>
      </c>
      <c r="CU1040" s="584" t="s">
        <v>3080</v>
      </c>
      <c r="CV1040" s="585" t="s">
        <v>3081</v>
      </c>
    </row>
    <row r="1041" spans="91:100" ht="25.5" x14ac:dyDescent="0.25">
      <c r="CM1041" s="582"/>
      <c r="CN1041" s="584" t="s">
        <v>4298</v>
      </c>
      <c r="CO1041" s="584" t="s">
        <v>1910</v>
      </c>
      <c r="CP1041" s="584" t="s">
        <v>1888</v>
      </c>
      <c r="CQ1041" s="584" t="s">
        <v>4299</v>
      </c>
      <c r="CR1041" s="584" t="s">
        <v>4299</v>
      </c>
      <c r="CS1041" s="584" t="s">
        <v>2583</v>
      </c>
      <c r="CT1041" s="584" t="s">
        <v>2584</v>
      </c>
      <c r="CU1041" s="584" t="s">
        <v>3080</v>
      </c>
      <c r="CV1041" s="585" t="s">
        <v>3081</v>
      </c>
    </row>
    <row r="1042" spans="91:100" ht="25.5" x14ac:dyDescent="0.25">
      <c r="CM1042" s="582"/>
      <c r="CN1042" s="584" t="s">
        <v>4300</v>
      </c>
      <c r="CO1042" s="584" t="s">
        <v>1910</v>
      </c>
      <c r="CP1042" s="584" t="s">
        <v>1888</v>
      </c>
      <c r="CQ1042" s="584" t="s">
        <v>4301</v>
      </c>
      <c r="CR1042" s="584" t="s">
        <v>4301</v>
      </c>
      <c r="CS1042" s="584" t="s">
        <v>2583</v>
      </c>
      <c r="CT1042" s="584" t="s">
        <v>2584</v>
      </c>
      <c r="CU1042" s="584" t="s">
        <v>3080</v>
      </c>
      <c r="CV1042" s="585" t="s">
        <v>3081</v>
      </c>
    </row>
    <row r="1043" spans="91:100" ht="25.5" x14ac:dyDescent="0.25">
      <c r="CM1043" s="582"/>
      <c r="CN1043" s="584" t="s">
        <v>4302</v>
      </c>
      <c r="CO1043" s="584" t="s">
        <v>1910</v>
      </c>
      <c r="CP1043" s="584" t="s">
        <v>1888</v>
      </c>
      <c r="CQ1043" s="584" t="s">
        <v>4303</v>
      </c>
      <c r="CR1043" s="584" t="s">
        <v>4303</v>
      </c>
      <c r="CS1043" s="584" t="s">
        <v>2583</v>
      </c>
      <c r="CT1043" s="584" t="s">
        <v>2584</v>
      </c>
      <c r="CU1043" s="584" t="s">
        <v>3080</v>
      </c>
      <c r="CV1043" s="585" t="s">
        <v>3081</v>
      </c>
    </row>
    <row r="1044" spans="91:100" ht="25.5" x14ac:dyDescent="0.25">
      <c r="CM1044" s="582"/>
      <c r="CN1044" s="584" t="s">
        <v>4304</v>
      </c>
      <c r="CO1044" s="584" t="s">
        <v>1910</v>
      </c>
      <c r="CP1044" s="584" t="s">
        <v>1888</v>
      </c>
      <c r="CQ1044" s="584" t="s">
        <v>4305</v>
      </c>
      <c r="CR1044" s="584" t="s">
        <v>4305</v>
      </c>
      <c r="CS1044" s="584" t="s">
        <v>2583</v>
      </c>
      <c r="CT1044" s="584" t="s">
        <v>2584</v>
      </c>
      <c r="CU1044" s="584" t="s">
        <v>3080</v>
      </c>
      <c r="CV1044" s="585" t="s">
        <v>3081</v>
      </c>
    </row>
    <row r="1045" spans="91:100" ht="25.5" x14ac:dyDescent="0.25">
      <c r="CM1045" s="582"/>
      <c r="CN1045" s="584" t="s">
        <v>4306</v>
      </c>
      <c r="CO1045" s="584" t="s">
        <v>1910</v>
      </c>
      <c r="CP1045" s="584" t="s">
        <v>1888</v>
      </c>
      <c r="CQ1045" s="584" t="s">
        <v>4307</v>
      </c>
      <c r="CR1045" s="584" t="s">
        <v>4307</v>
      </c>
      <c r="CS1045" s="584" t="s">
        <v>2583</v>
      </c>
      <c r="CT1045" s="584" t="s">
        <v>2584</v>
      </c>
      <c r="CU1045" s="584" t="s">
        <v>3080</v>
      </c>
      <c r="CV1045" s="585" t="s">
        <v>3081</v>
      </c>
    </row>
    <row r="1046" spans="91:100" ht="25.5" x14ac:dyDescent="0.25">
      <c r="CM1046" s="582"/>
      <c r="CN1046" s="584" t="s">
        <v>4308</v>
      </c>
      <c r="CO1046" s="584" t="s">
        <v>1910</v>
      </c>
      <c r="CP1046" s="584" t="s">
        <v>1888</v>
      </c>
      <c r="CQ1046" s="584" t="s">
        <v>4309</v>
      </c>
      <c r="CR1046" s="584" t="s">
        <v>4309</v>
      </c>
      <c r="CS1046" s="584" t="s">
        <v>2583</v>
      </c>
      <c r="CT1046" s="584" t="s">
        <v>2584</v>
      </c>
      <c r="CU1046" s="584" t="s">
        <v>3080</v>
      </c>
      <c r="CV1046" s="585" t="s">
        <v>3081</v>
      </c>
    </row>
    <row r="1047" spans="91:100" ht="25.5" x14ac:dyDescent="0.25">
      <c r="CM1047" s="582"/>
      <c r="CN1047" s="584" t="s">
        <v>4310</v>
      </c>
      <c r="CO1047" s="584" t="s">
        <v>1910</v>
      </c>
      <c r="CP1047" s="584" t="s">
        <v>1888</v>
      </c>
      <c r="CQ1047" s="584" t="s">
        <v>4311</v>
      </c>
      <c r="CR1047" s="584" t="s">
        <v>4311</v>
      </c>
      <c r="CS1047" s="584" t="s">
        <v>2583</v>
      </c>
      <c r="CT1047" s="584" t="s">
        <v>2584</v>
      </c>
      <c r="CU1047" s="584" t="s">
        <v>3080</v>
      </c>
      <c r="CV1047" s="585" t="s">
        <v>3081</v>
      </c>
    </row>
    <row r="1048" spans="91:100" ht="25.5" x14ac:dyDescent="0.25">
      <c r="CM1048" s="582"/>
      <c r="CN1048" s="584" t="s">
        <v>4312</v>
      </c>
      <c r="CO1048" s="584" t="s">
        <v>1910</v>
      </c>
      <c r="CP1048" s="584" t="s">
        <v>1888</v>
      </c>
      <c r="CQ1048" s="584" t="s">
        <v>4313</v>
      </c>
      <c r="CR1048" s="584" t="s">
        <v>4313</v>
      </c>
      <c r="CS1048" s="584" t="s">
        <v>2583</v>
      </c>
      <c r="CT1048" s="584" t="s">
        <v>2584</v>
      </c>
      <c r="CU1048" s="584" t="s">
        <v>3080</v>
      </c>
      <c r="CV1048" s="585" t="s">
        <v>3081</v>
      </c>
    </row>
    <row r="1049" spans="91:100" ht="25.5" x14ac:dyDescent="0.25">
      <c r="CM1049" s="582"/>
      <c r="CN1049" s="584" t="s">
        <v>4314</v>
      </c>
      <c r="CO1049" s="584" t="s">
        <v>1910</v>
      </c>
      <c r="CP1049" s="584" t="s">
        <v>1888</v>
      </c>
      <c r="CQ1049" s="584" t="s">
        <v>4315</v>
      </c>
      <c r="CR1049" s="584" t="s">
        <v>4315</v>
      </c>
      <c r="CS1049" s="584" t="s">
        <v>2583</v>
      </c>
      <c r="CT1049" s="584" t="s">
        <v>2584</v>
      </c>
      <c r="CU1049" s="584" t="s">
        <v>3080</v>
      </c>
      <c r="CV1049" s="585" t="s">
        <v>3081</v>
      </c>
    </row>
    <row r="1050" spans="91:100" ht="25.5" x14ac:dyDescent="0.25">
      <c r="CM1050" s="582"/>
      <c r="CN1050" s="584" t="s">
        <v>4316</v>
      </c>
      <c r="CO1050" s="584" t="s">
        <v>1910</v>
      </c>
      <c r="CP1050" s="584" t="s">
        <v>1888</v>
      </c>
      <c r="CQ1050" s="584" t="s">
        <v>4317</v>
      </c>
      <c r="CR1050" s="584" t="s">
        <v>4317</v>
      </c>
      <c r="CS1050" s="584" t="s">
        <v>2583</v>
      </c>
      <c r="CT1050" s="584" t="s">
        <v>2584</v>
      </c>
      <c r="CU1050" s="584" t="s">
        <v>3080</v>
      </c>
      <c r="CV1050" s="585" t="s">
        <v>3081</v>
      </c>
    </row>
    <row r="1051" spans="91:100" ht="25.5" x14ac:dyDescent="0.25">
      <c r="CM1051" s="582"/>
      <c r="CN1051" s="584" t="s">
        <v>4318</v>
      </c>
      <c r="CO1051" s="584" t="s">
        <v>1910</v>
      </c>
      <c r="CP1051" s="584" t="s">
        <v>1888</v>
      </c>
      <c r="CQ1051" s="584" t="s">
        <v>4319</v>
      </c>
      <c r="CR1051" s="584" t="s">
        <v>4319</v>
      </c>
      <c r="CS1051" s="584" t="s">
        <v>2583</v>
      </c>
      <c r="CT1051" s="584" t="s">
        <v>2584</v>
      </c>
      <c r="CU1051" s="584" t="s">
        <v>3080</v>
      </c>
      <c r="CV1051" s="585" t="s">
        <v>3081</v>
      </c>
    </row>
    <row r="1052" spans="91:100" ht="25.5" x14ac:dyDescent="0.25">
      <c r="CM1052" s="582"/>
      <c r="CN1052" s="584" t="s">
        <v>4320</v>
      </c>
      <c r="CO1052" s="584" t="s">
        <v>1910</v>
      </c>
      <c r="CP1052" s="584" t="s">
        <v>1888</v>
      </c>
      <c r="CQ1052" s="584" t="s">
        <v>4321</v>
      </c>
      <c r="CR1052" s="584" t="s">
        <v>4321</v>
      </c>
      <c r="CS1052" s="584" t="s">
        <v>2583</v>
      </c>
      <c r="CT1052" s="584" t="s">
        <v>2584</v>
      </c>
      <c r="CU1052" s="584" t="s">
        <v>3080</v>
      </c>
      <c r="CV1052" s="585" t="s">
        <v>3081</v>
      </c>
    </row>
    <row r="1053" spans="91:100" ht="25.5" x14ac:dyDescent="0.25">
      <c r="CM1053" s="582"/>
      <c r="CN1053" s="584" t="s">
        <v>4322</v>
      </c>
      <c r="CO1053" s="584" t="s">
        <v>1910</v>
      </c>
      <c r="CP1053" s="584" t="s">
        <v>1888</v>
      </c>
      <c r="CQ1053" s="584" t="s">
        <v>4323</v>
      </c>
      <c r="CR1053" s="584" t="s">
        <v>4323</v>
      </c>
      <c r="CS1053" s="584" t="s">
        <v>2583</v>
      </c>
      <c r="CT1053" s="584" t="s">
        <v>2584</v>
      </c>
      <c r="CU1053" s="584" t="s">
        <v>3080</v>
      </c>
      <c r="CV1053" s="585" t="s">
        <v>3081</v>
      </c>
    </row>
    <row r="1054" spans="91:100" ht="25.5" x14ac:dyDescent="0.25">
      <c r="CM1054" s="582"/>
      <c r="CN1054" s="584" t="s">
        <v>4324</v>
      </c>
      <c r="CO1054" s="584" t="s">
        <v>1910</v>
      </c>
      <c r="CP1054" s="584" t="s">
        <v>1888</v>
      </c>
      <c r="CQ1054" s="584" t="s">
        <v>4325</v>
      </c>
      <c r="CR1054" s="584" t="s">
        <v>4325</v>
      </c>
      <c r="CS1054" s="584" t="s">
        <v>2583</v>
      </c>
      <c r="CT1054" s="584" t="s">
        <v>2584</v>
      </c>
      <c r="CU1054" s="584" t="s">
        <v>3080</v>
      </c>
      <c r="CV1054" s="585" t="s">
        <v>3081</v>
      </c>
    </row>
    <row r="1055" spans="91:100" ht="25.5" x14ac:dyDescent="0.25">
      <c r="CM1055" s="582"/>
      <c r="CN1055" s="584" t="s">
        <v>4326</v>
      </c>
      <c r="CO1055" s="584" t="s">
        <v>1910</v>
      </c>
      <c r="CP1055" s="584" t="s">
        <v>1888</v>
      </c>
      <c r="CQ1055" s="584" t="s">
        <v>4327</v>
      </c>
      <c r="CR1055" s="584" t="s">
        <v>4327</v>
      </c>
      <c r="CS1055" s="584" t="s">
        <v>2583</v>
      </c>
      <c r="CT1055" s="584" t="s">
        <v>2584</v>
      </c>
      <c r="CU1055" s="584" t="s">
        <v>3080</v>
      </c>
      <c r="CV1055" s="585" t="s">
        <v>3081</v>
      </c>
    </row>
    <row r="1056" spans="91:100" ht="25.5" x14ac:dyDescent="0.25">
      <c r="CM1056" s="582"/>
      <c r="CN1056" s="584" t="s">
        <v>4328</v>
      </c>
      <c r="CO1056" s="584" t="s">
        <v>1910</v>
      </c>
      <c r="CP1056" s="584" t="s">
        <v>1888</v>
      </c>
      <c r="CQ1056" s="584" t="s">
        <v>4329</v>
      </c>
      <c r="CR1056" s="584" t="s">
        <v>4329</v>
      </c>
      <c r="CS1056" s="584" t="s">
        <v>2583</v>
      </c>
      <c r="CT1056" s="584" t="s">
        <v>2584</v>
      </c>
      <c r="CU1056" s="584" t="s">
        <v>3080</v>
      </c>
      <c r="CV1056" s="585" t="s">
        <v>3081</v>
      </c>
    </row>
    <row r="1057" spans="91:100" ht="25.5" x14ac:dyDescent="0.25">
      <c r="CM1057" s="582"/>
      <c r="CN1057" s="584" t="s">
        <v>4330</v>
      </c>
      <c r="CO1057" s="584" t="s">
        <v>1910</v>
      </c>
      <c r="CP1057" s="584" t="s">
        <v>1888</v>
      </c>
      <c r="CQ1057" s="584" t="s">
        <v>4331</v>
      </c>
      <c r="CR1057" s="584" t="s">
        <v>4331</v>
      </c>
      <c r="CS1057" s="584" t="s">
        <v>2583</v>
      </c>
      <c r="CT1057" s="584" t="s">
        <v>2584</v>
      </c>
      <c r="CU1057" s="584" t="s">
        <v>3080</v>
      </c>
      <c r="CV1057" s="585" t="s">
        <v>3081</v>
      </c>
    </row>
    <row r="1058" spans="91:100" ht="25.5" x14ac:dyDescent="0.25">
      <c r="CM1058" s="582"/>
      <c r="CN1058" s="584" t="s">
        <v>4332</v>
      </c>
      <c r="CO1058" s="584" t="s">
        <v>1910</v>
      </c>
      <c r="CP1058" s="584" t="s">
        <v>1888</v>
      </c>
      <c r="CQ1058" s="584" t="s">
        <v>4333</v>
      </c>
      <c r="CR1058" s="584" t="s">
        <v>4333</v>
      </c>
      <c r="CS1058" s="584" t="s">
        <v>2583</v>
      </c>
      <c r="CT1058" s="584" t="s">
        <v>2584</v>
      </c>
      <c r="CU1058" s="584" t="s">
        <v>3080</v>
      </c>
      <c r="CV1058" s="585" t="s">
        <v>3081</v>
      </c>
    </row>
    <row r="1059" spans="91:100" ht="25.5" x14ac:dyDescent="0.25">
      <c r="CM1059" s="582"/>
      <c r="CN1059" s="584" t="s">
        <v>4334</v>
      </c>
      <c r="CO1059" s="584" t="s">
        <v>1910</v>
      </c>
      <c r="CP1059" s="584" t="s">
        <v>1888</v>
      </c>
      <c r="CQ1059" s="584" t="s">
        <v>4335</v>
      </c>
      <c r="CR1059" s="584" t="s">
        <v>4335</v>
      </c>
      <c r="CS1059" s="584" t="s">
        <v>2583</v>
      </c>
      <c r="CT1059" s="584" t="s">
        <v>2584</v>
      </c>
      <c r="CU1059" s="584" t="s">
        <v>3080</v>
      </c>
      <c r="CV1059" s="585" t="s">
        <v>3081</v>
      </c>
    </row>
    <row r="1060" spans="91:100" ht="25.5" x14ac:dyDescent="0.25">
      <c r="CM1060" s="582"/>
      <c r="CN1060" s="584" t="s">
        <v>4336</v>
      </c>
      <c r="CO1060" s="584" t="s">
        <v>1910</v>
      </c>
      <c r="CP1060" s="584" t="s">
        <v>1888</v>
      </c>
      <c r="CQ1060" s="584" t="s">
        <v>4337</v>
      </c>
      <c r="CR1060" s="584" t="s">
        <v>4337</v>
      </c>
      <c r="CS1060" s="584" t="s">
        <v>2583</v>
      </c>
      <c r="CT1060" s="584" t="s">
        <v>2584</v>
      </c>
      <c r="CU1060" s="584" t="s">
        <v>3080</v>
      </c>
      <c r="CV1060" s="585" t="s">
        <v>3081</v>
      </c>
    </row>
    <row r="1061" spans="91:100" ht="25.5" x14ac:dyDescent="0.25">
      <c r="CM1061" s="582"/>
      <c r="CN1061" s="584" t="s">
        <v>4338</v>
      </c>
      <c r="CO1061" s="584" t="s">
        <v>1910</v>
      </c>
      <c r="CP1061" s="584" t="s">
        <v>1888</v>
      </c>
      <c r="CQ1061" s="584" t="s">
        <v>4339</v>
      </c>
      <c r="CR1061" s="584" t="s">
        <v>4339</v>
      </c>
      <c r="CS1061" s="584" t="s">
        <v>2583</v>
      </c>
      <c r="CT1061" s="584" t="s">
        <v>2584</v>
      </c>
      <c r="CU1061" s="584" t="s">
        <v>3080</v>
      </c>
      <c r="CV1061" s="585" t="s">
        <v>3081</v>
      </c>
    </row>
    <row r="1062" spans="91:100" ht="25.5" x14ac:dyDescent="0.25">
      <c r="CM1062" s="582"/>
      <c r="CN1062" s="584" t="s">
        <v>4340</v>
      </c>
      <c r="CO1062" s="584" t="s">
        <v>1910</v>
      </c>
      <c r="CP1062" s="584" t="s">
        <v>1888</v>
      </c>
      <c r="CQ1062" s="584" t="s">
        <v>4341</v>
      </c>
      <c r="CR1062" s="584" t="s">
        <v>4341</v>
      </c>
      <c r="CS1062" s="584" t="s">
        <v>2583</v>
      </c>
      <c r="CT1062" s="584" t="s">
        <v>2584</v>
      </c>
      <c r="CU1062" s="584" t="s">
        <v>3080</v>
      </c>
      <c r="CV1062" s="585" t="s">
        <v>3081</v>
      </c>
    </row>
    <row r="1063" spans="91:100" ht="25.5" x14ac:dyDescent="0.25">
      <c r="CM1063" s="582"/>
      <c r="CN1063" s="584" t="s">
        <v>4342</v>
      </c>
      <c r="CO1063" s="584" t="s">
        <v>1910</v>
      </c>
      <c r="CP1063" s="584" t="s">
        <v>1888</v>
      </c>
      <c r="CQ1063" s="584" t="s">
        <v>4343</v>
      </c>
      <c r="CR1063" s="584" t="s">
        <v>4343</v>
      </c>
      <c r="CS1063" s="584" t="s">
        <v>2583</v>
      </c>
      <c r="CT1063" s="584" t="s">
        <v>2584</v>
      </c>
      <c r="CU1063" s="584" t="s">
        <v>3080</v>
      </c>
      <c r="CV1063" s="585" t="s">
        <v>3081</v>
      </c>
    </row>
    <row r="1064" spans="91:100" ht="25.5" x14ac:dyDescent="0.25">
      <c r="CM1064" s="582"/>
      <c r="CN1064" s="584" t="s">
        <v>4344</v>
      </c>
      <c r="CO1064" s="584" t="s">
        <v>1910</v>
      </c>
      <c r="CP1064" s="584" t="s">
        <v>1888</v>
      </c>
      <c r="CQ1064" s="584" t="s">
        <v>4345</v>
      </c>
      <c r="CR1064" s="584" t="s">
        <v>4345</v>
      </c>
      <c r="CS1064" s="584" t="s">
        <v>2583</v>
      </c>
      <c r="CT1064" s="584" t="s">
        <v>2584</v>
      </c>
      <c r="CU1064" s="584" t="s">
        <v>3080</v>
      </c>
      <c r="CV1064" s="585" t="s">
        <v>3081</v>
      </c>
    </row>
    <row r="1065" spans="91:100" ht="25.5" x14ac:dyDescent="0.25">
      <c r="CM1065" s="582"/>
      <c r="CN1065" s="584" t="s">
        <v>4346</v>
      </c>
      <c r="CO1065" s="584" t="s">
        <v>1910</v>
      </c>
      <c r="CP1065" s="584" t="s">
        <v>1888</v>
      </c>
      <c r="CQ1065" s="584" t="s">
        <v>4347</v>
      </c>
      <c r="CR1065" s="584" t="s">
        <v>4347</v>
      </c>
      <c r="CS1065" s="584" t="s">
        <v>2583</v>
      </c>
      <c r="CT1065" s="584" t="s">
        <v>2584</v>
      </c>
      <c r="CU1065" s="584" t="s">
        <v>3080</v>
      </c>
      <c r="CV1065" s="585" t="s">
        <v>3081</v>
      </c>
    </row>
    <row r="1066" spans="91:100" ht="25.5" x14ac:dyDescent="0.25">
      <c r="CM1066" s="582"/>
      <c r="CN1066" s="584" t="s">
        <v>4348</v>
      </c>
      <c r="CO1066" s="584" t="s">
        <v>1910</v>
      </c>
      <c r="CP1066" s="584" t="s">
        <v>1888</v>
      </c>
      <c r="CQ1066" s="584" t="s">
        <v>4349</v>
      </c>
      <c r="CR1066" s="584" t="s">
        <v>4349</v>
      </c>
      <c r="CS1066" s="584" t="s">
        <v>2583</v>
      </c>
      <c r="CT1066" s="584" t="s">
        <v>2584</v>
      </c>
      <c r="CU1066" s="584" t="s">
        <v>3080</v>
      </c>
      <c r="CV1066" s="585" t="s">
        <v>3081</v>
      </c>
    </row>
    <row r="1067" spans="91:100" ht="25.5" x14ac:dyDescent="0.25">
      <c r="CM1067" s="582"/>
      <c r="CN1067" s="584" t="s">
        <v>4350</v>
      </c>
      <c r="CO1067" s="584" t="s">
        <v>1910</v>
      </c>
      <c r="CP1067" s="584" t="s">
        <v>1888</v>
      </c>
      <c r="CQ1067" s="584" t="s">
        <v>4351</v>
      </c>
      <c r="CR1067" s="584" t="s">
        <v>4351</v>
      </c>
      <c r="CS1067" s="584" t="s">
        <v>2583</v>
      </c>
      <c r="CT1067" s="584" t="s">
        <v>2584</v>
      </c>
      <c r="CU1067" s="584" t="s">
        <v>3080</v>
      </c>
      <c r="CV1067" s="585" t="s">
        <v>3081</v>
      </c>
    </row>
    <row r="1068" spans="91:100" ht="25.5" x14ac:dyDescent="0.25">
      <c r="CM1068" s="582"/>
      <c r="CN1068" s="584" t="s">
        <v>4352</v>
      </c>
      <c r="CO1068" s="584" t="s">
        <v>1910</v>
      </c>
      <c r="CP1068" s="584" t="s">
        <v>1888</v>
      </c>
      <c r="CQ1068" s="584" t="s">
        <v>4353</v>
      </c>
      <c r="CR1068" s="584" t="s">
        <v>4353</v>
      </c>
      <c r="CS1068" s="584" t="s">
        <v>2583</v>
      </c>
      <c r="CT1068" s="584" t="s">
        <v>2584</v>
      </c>
      <c r="CU1068" s="584" t="s">
        <v>3080</v>
      </c>
      <c r="CV1068" s="585" t="s">
        <v>3081</v>
      </c>
    </row>
    <row r="1069" spans="91:100" ht="25.5" x14ac:dyDescent="0.25">
      <c r="CM1069" s="582"/>
      <c r="CN1069" s="584" t="s">
        <v>4354</v>
      </c>
      <c r="CO1069" s="584" t="s">
        <v>1910</v>
      </c>
      <c r="CP1069" s="584" t="s">
        <v>1888</v>
      </c>
      <c r="CQ1069" s="584" t="s">
        <v>4355</v>
      </c>
      <c r="CR1069" s="584" t="s">
        <v>4355</v>
      </c>
      <c r="CS1069" s="584" t="s">
        <v>2583</v>
      </c>
      <c r="CT1069" s="584" t="s">
        <v>2584</v>
      </c>
      <c r="CU1069" s="584" t="s">
        <v>3080</v>
      </c>
      <c r="CV1069" s="585" t="s">
        <v>3081</v>
      </c>
    </row>
    <row r="1070" spans="91:100" ht="25.5" x14ac:dyDescent="0.25">
      <c r="CM1070" s="582"/>
      <c r="CN1070" s="584" t="s">
        <v>4356</v>
      </c>
      <c r="CO1070" s="584" t="s">
        <v>1910</v>
      </c>
      <c r="CP1070" s="584" t="s">
        <v>1888</v>
      </c>
      <c r="CQ1070" s="584" t="s">
        <v>4357</v>
      </c>
      <c r="CR1070" s="584" t="s">
        <v>4357</v>
      </c>
      <c r="CS1070" s="584" t="s">
        <v>2583</v>
      </c>
      <c r="CT1070" s="584" t="s">
        <v>2584</v>
      </c>
      <c r="CU1070" s="584" t="s">
        <v>3080</v>
      </c>
      <c r="CV1070" s="585" t="s">
        <v>3081</v>
      </c>
    </row>
    <row r="1071" spans="91:100" ht="25.5" x14ac:dyDescent="0.25">
      <c r="CM1071" s="582"/>
      <c r="CN1071" s="584" t="s">
        <v>4358</v>
      </c>
      <c r="CO1071" s="584" t="s">
        <v>1910</v>
      </c>
      <c r="CP1071" s="584" t="s">
        <v>1888</v>
      </c>
      <c r="CQ1071" s="584" t="s">
        <v>4359</v>
      </c>
      <c r="CR1071" s="584" t="s">
        <v>4359</v>
      </c>
      <c r="CS1071" s="584" t="s">
        <v>2583</v>
      </c>
      <c r="CT1071" s="584" t="s">
        <v>2584</v>
      </c>
      <c r="CU1071" s="584" t="s">
        <v>3080</v>
      </c>
      <c r="CV1071" s="585" t="s">
        <v>3081</v>
      </c>
    </row>
    <row r="1072" spans="91:100" ht="25.5" x14ac:dyDescent="0.25">
      <c r="CM1072" s="582"/>
      <c r="CN1072" s="584" t="s">
        <v>4360</v>
      </c>
      <c r="CO1072" s="584" t="s">
        <v>1910</v>
      </c>
      <c r="CP1072" s="584" t="s">
        <v>1888</v>
      </c>
      <c r="CQ1072" s="584" t="s">
        <v>4361</v>
      </c>
      <c r="CR1072" s="584" t="s">
        <v>4361</v>
      </c>
      <c r="CS1072" s="584" t="s">
        <v>2583</v>
      </c>
      <c r="CT1072" s="584" t="s">
        <v>2584</v>
      </c>
      <c r="CU1072" s="584" t="s">
        <v>3080</v>
      </c>
      <c r="CV1072" s="585" t="s">
        <v>3081</v>
      </c>
    </row>
    <row r="1073" spans="91:100" ht="25.5" x14ac:dyDescent="0.25">
      <c r="CM1073" s="582"/>
      <c r="CN1073" s="584" t="s">
        <v>4362</v>
      </c>
      <c r="CO1073" s="584" t="s">
        <v>1910</v>
      </c>
      <c r="CP1073" s="584" t="s">
        <v>1888</v>
      </c>
      <c r="CQ1073" s="584" t="s">
        <v>4363</v>
      </c>
      <c r="CR1073" s="584" t="s">
        <v>4363</v>
      </c>
      <c r="CS1073" s="584" t="s">
        <v>2583</v>
      </c>
      <c r="CT1073" s="584" t="s">
        <v>2584</v>
      </c>
      <c r="CU1073" s="584" t="s">
        <v>3080</v>
      </c>
      <c r="CV1073" s="585" t="s">
        <v>3081</v>
      </c>
    </row>
    <row r="1074" spans="91:100" ht="25.5" x14ac:dyDescent="0.25">
      <c r="CM1074" s="582"/>
      <c r="CN1074" s="584" t="s">
        <v>4364</v>
      </c>
      <c r="CO1074" s="584" t="s">
        <v>1910</v>
      </c>
      <c r="CP1074" s="584" t="s">
        <v>1888</v>
      </c>
      <c r="CQ1074" s="584" t="s">
        <v>4365</v>
      </c>
      <c r="CR1074" s="584" t="s">
        <v>4365</v>
      </c>
      <c r="CS1074" s="584" t="s">
        <v>2583</v>
      </c>
      <c r="CT1074" s="584" t="s">
        <v>2584</v>
      </c>
      <c r="CU1074" s="584" t="s">
        <v>3080</v>
      </c>
      <c r="CV1074" s="585" t="s">
        <v>3081</v>
      </c>
    </row>
    <row r="1075" spans="91:100" ht="25.5" x14ac:dyDescent="0.25">
      <c r="CM1075" s="582"/>
      <c r="CN1075" s="584" t="s">
        <v>4366</v>
      </c>
      <c r="CO1075" s="584" t="s">
        <v>1910</v>
      </c>
      <c r="CP1075" s="584" t="s">
        <v>1888</v>
      </c>
      <c r="CQ1075" s="584" t="s">
        <v>4367</v>
      </c>
      <c r="CR1075" s="584" t="s">
        <v>4367</v>
      </c>
      <c r="CS1075" s="584" t="s">
        <v>2583</v>
      </c>
      <c r="CT1075" s="584" t="s">
        <v>2584</v>
      </c>
      <c r="CU1075" s="584" t="s">
        <v>3080</v>
      </c>
      <c r="CV1075" s="585" t="s">
        <v>3081</v>
      </c>
    </row>
    <row r="1076" spans="91:100" x14ac:dyDescent="0.25">
      <c r="CM1076" s="582"/>
      <c r="CN1076" s="584" t="s">
        <v>4368</v>
      </c>
      <c r="CO1076" s="584" t="s">
        <v>1910</v>
      </c>
      <c r="CP1076" s="584" t="s">
        <v>1888</v>
      </c>
      <c r="CQ1076" s="584" t="s">
        <v>4369</v>
      </c>
      <c r="CR1076" s="584" t="s">
        <v>4369</v>
      </c>
      <c r="CS1076" s="584" t="s">
        <v>1890</v>
      </c>
      <c r="CT1076" s="584" t="s">
        <v>3163</v>
      </c>
      <c r="CU1076" s="584" t="s">
        <v>1892</v>
      </c>
      <c r="CV1076" s="585" t="s">
        <v>1893</v>
      </c>
    </row>
    <row r="1077" spans="91:100" ht="25.5" x14ac:dyDescent="0.25">
      <c r="CM1077" s="582"/>
      <c r="CN1077" s="584" t="s">
        <v>4370</v>
      </c>
      <c r="CO1077" s="584" t="s">
        <v>1910</v>
      </c>
      <c r="CP1077" s="584" t="s">
        <v>1888</v>
      </c>
      <c r="CQ1077" s="584" t="s">
        <v>4371</v>
      </c>
      <c r="CR1077" s="584" t="s">
        <v>4371</v>
      </c>
      <c r="CS1077" s="584" t="s">
        <v>2583</v>
      </c>
      <c r="CT1077" s="584" t="s">
        <v>2584</v>
      </c>
      <c r="CU1077" s="584" t="s">
        <v>3080</v>
      </c>
      <c r="CV1077" s="585" t="s">
        <v>3081</v>
      </c>
    </row>
    <row r="1078" spans="91:100" ht="25.5" x14ac:dyDescent="0.25">
      <c r="CM1078" s="582"/>
      <c r="CN1078" s="584" t="s">
        <v>4372</v>
      </c>
      <c r="CO1078" s="584" t="s">
        <v>1910</v>
      </c>
      <c r="CP1078" s="584" t="s">
        <v>1888</v>
      </c>
      <c r="CQ1078" s="584" t="s">
        <v>4373</v>
      </c>
      <c r="CR1078" s="584" t="s">
        <v>4373</v>
      </c>
      <c r="CS1078" s="584" t="s">
        <v>2583</v>
      </c>
      <c r="CT1078" s="584" t="s">
        <v>2584</v>
      </c>
      <c r="CU1078" s="584" t="s">
        <v>3080</v>
      </c>
      <c r="CV1078" s="585" t="s">
        <v>3081</v>
      </c>
    </row>
    <row r="1079" spans="91:100" ht="25.5" x14ac:dyDescent="0.25">
      <c r="CM1079" s="582"/>
      <c r="CN1079" s="584" t="s">
        <v>4374</v>
      </c>
      <c r="CO1079" s="584" t="s">
        <v>1910</v>
      </c>
      <c r="CP1079" s="584" t="s">
        <v>1888</v>
      </c>
      <c r="CQ1079" s="584" t="s">
        <v>4375</v>
      </c>
      <c r="CR1079" s="584" t="s">
        <v>4375</v>
      </c>
      <c r="CS1079" s="584" t="s">
        <v>2583</v>
      </c>
      <c r="CT1079" s="584" t="s">
        <v>2584</v>
      </c>
      <c r="CU1079" s="584" t="s">
        <v>3080</v>
      </c>
      <c r="CV1079" s="585" t="s">
        <v>3081</v>
      </c>
    </row>
    <row r="1080" spans="91:100" ht="25.5" x14ac:dyDescent="0.25">
      <c r="CM1080" s="582"/>
      <c r="CN1080" s="584" t="s">
        <v>4376</v>
      </c>
      <c r="CO1080" s="584" t="s">
        <v>1910</v>
      </c>
      <c r="CP1080" s="584" t="s">
        <v>1888</v>
      </c>
      <c r="CQ1080" s="584" t="s">
        <v>4377</v>
      </c>
      <c r="CR1080" s="584" t="s">
        <v>4377</v>
      </c>
      <c r="CS1080" s="584" t="s">
        <v>2583</v>
      </c>
      <c r="CT1080" s="584" t="s">
        <v>2584</v>
      </c>
      <c r="CU1080" s="584" t="s">
        <v>3080</v>
      </c>
      <c r="CV1080" s="585" t="s">
        <v>3081</v>
      </c>
    </row>
    <row r="1081" spans="91:100" ht="25.5" x14ac:dyDescent="0.25">
      <c r="CM1081" s="582"/>
      <c r="CN1081" s="584" t="s">
        <v>4378</v>
      </c>
      <c r="CO1081" s="584" t="s">
        <v>1910</v>
      </c>
      <c r="CP1081" s="584" t="s">
        <v>1888</v>
      </c>
      <c r="CQ1081" s="584" t="s">
        <v>4379</v>
      </c>
      <c r="CR1081" s="584" t="s">
        <v>4379</v>
      </c>
      <c r="CS1081" s="584" t="s">
        <v>2583</v>
      </c>
      <c r="CT1081" s="584" t="s">
        <v>2584</v>
      </c>
      <c r="CU1081" s="584" t="s">
        <v>3080</v>
      </c>
      <c r="CV1081" s="585" t="s">
        <v>3081</v>
      </c>
    </row>
    <row r="1082" spans="91:100" ht="25.5" x14ac:dyDescent="0.25">
      <c r="CM1082" s="582"/>
      <c r="CN1082" s="584" t="s">
        <v>4380</v>
      </c>
      <c r="CO1082" s="584" t="s">
        <v>1910</v>
      </c>
      <c r="CP1082" s="584" t="s">
        <v>1888</v>
      </c>
      <c r="CQ1082" s="584" t="s">
        <v>4381</v>
      </c>
      <c r="CR1082" s="584" t="s">
        <v>4381</v>
      </c>
      <c r="CS1082" s="584" t="s">
        <v>2583</v>
      </c>
      <c r="CT1082" s="584" t="s">
        <v>2584</v>
      </c>
      <c r="CU1082" s="584" t="s">
        <v>3080</v>
      </c>
      <c r="CV1082" s="585" t="s">
        <v>3081</v>
      </c>
    </row>
    <row r="1083" spans="91:100" ht="25.5" x14ac:dyDescent="0.25">
      <c r="CM1083" s="582"/>
      <c r="CN1083" s="584" t="s">
        <v>4382</v>
      </c>
      <c r="CO1083" s="584" t="s">
        <v>1910</v>
      </c>
      <c r="CP1083" s="584" t="s">
        <v>1888</v>
      </c>
      <c r="CQ1083" s="584" t="s">
        <v>4383</v>
      </c>
      <c r="CR1083" s="584" t="s">
        <v>4383</v>
      </c>
      <c r="CS1083" s="584" t="s">
        <v>2583</v>
      </c>
      <c r="CT1083" s="584" t="s">
        <v>2584</v>
      </c>
      <c r="CU1083" s="584" t="s">
        <v>3080</v>
      </c>
      <c r="CV1083" s="585" t="s">
        <v>3081</v>
      </c>
    </row>
    <row r="1084" spans="91:100" ht="25.5" x14ac:dyDescent="0.25">
      <c r="CM1084" s="582"/>
      <c r="CN1084" s="584" t="s">
        <v>4384</v>
      </c>
      <c r="CO1084" s="584" t="s">
        <v>1910</v>
      </c>
      <c r="CP1084" s="584" t="s">
        <v>1888</v>
      </c>
      <c r="CQ1084" s="584" t="s">
        <v>4385</v>
      </c>
      <c r="CR1084" s="584" t="s">
        <v>4385</v>
      </c>
      <c r="CS1084" s="584" t="s">
        <v>2583</v>
      </c>
      <c r="CT1084" s="584" t="s">
        <v>2584</v>
      </c>
      <c r="CU1084" s="584" t="s">
        <v>3080</v>
      </c>
      <c r="CV1084" s="585" t="s">
        <v>3081</v>
      </c>
    </row>
    <row r="1085" spans="91:100" ht="25.5" x14ac:dyDescent="0.25">
      <c r="CM1085" s="582"/>
      <c r="CN1085" s="584" t="s">
        <v>4386</v>
      </c>
      <c r="CO1085" s="584" t="s">
        <v>1910</v>
      </c>
      <c r="CP1085" s="584" t="s">
        <v>1888</v>
      </c>
      <c r="CQ1085" s="584" t="s">
        <v>4387</v>
      </c>
      <c r="CR1085" s="584" t="s">
        <v>4387</v>
      </c>
      <c r="CS1085" s="584" t="s">
        <v>2583</v>
      </c>
      <c r="CT1085" s="584" t="s">
        <v>2584</v>
      </c>
      <c r="CU1085" s="584" t="s">
        <v>3080</v>
      </c>
      <c r="CV1085" s="585" t="s">
        <v>3081</v>
      </c>
    </row>
    <row r="1086" spans="91:100" ht="25.5" x14ac:dyDescent="0.25">
      <c r="CM1086" s="582"/>
      <c r="CN1086" s="584" t="s">
        <v>4388</v>
      </c>
      <c r="CO1086" s="584" t="s">
        <v>1910</v>
      </c>
      <c r="CP1086" s="584" t="s">
        <v>1888</v>
      </c>
      <c r="CQ1086" s="584" t="s">
        <v>4389</v>
      </c>
      <c r="CR1086" s="584" t="s">
        <v>4389</v>
      </c>
      <c r="CS1086" s="584" t="s">
        <v>2583</v>
      </c>
      <c r="CT1086" s="584" t="s">
        <v>2584</v>
      </c>
      <c r="CU1086" s="584" t="s">
        <v>3080</v>
      </c>
      <c r="CV1086" s="585" t="s">
        <v>3081</v>
      </c>
    </row>
    <row r="1087" spans="91:100" x14ac:dyDescent="0.25">
      <c r="CM1087" s="582"/>
      <c r="CN1087" s="584" t="s">
        <v>4390</v>
      </c>
      <c r="CO1087" s="584" t="s">
        <v>1910</v>
      </c>
      <c r="CP1087" s="584" t="s">
        <v>1888</v>
      </c>
      <c r="CQ1087" s="584" t="s">
        <v>4391</v>
      </c>
      <c r="CR1087" s="584" t="s">
        <v>4391</v>
      </c>
      <c r="CS1087" s="584" t="s">
        <v>1890</v>
      </c>
      <c r="CT1087" s="584" t="s">
        <v>3163</v>
      </c>
      <c r="CU1087" s="584" t="s">
        <v>1892</v>
      </c>
      <c r="CV1087" s="585" t="s">
        <v>1893</v>
      </c>
    </row>
    <row r="1088" spans="91:100" ht="25.5" x14ac:dyDescent="0.25">
      <c r="CM1088" s="582"/>
      <c r="CN1088" s="584" t="s">
        <v>4392</v>
      </c>
      <c r="CO1088" s="584" t="s">
        <v>1910</v>
      </c>
      <c r="CP1088" s="584" t="s">
        <v>1888</v>
      </c>
      <c r="CQ1088" s="584" t="s">
        <v>4393</v>
      </c>
      <c r="CR1088" s="584" t="s">
        <v>4393</v>
      </c>
      <c r="CS1088" s="584" t="s">
        <v>2583</v>
      </c>
      <c r="CT1088" s="584" t="s">
        <v>2584</v>
      </c>
      <c r="CU1088" s="584" t="s">
        <v>3080</v>
      </c>
      <c r="CV1088" s="585" t="s">
        <v>3081</v>
      </c>
    </row>
    <row r="1089" spans="91:100" ht="25.5" x14ac:dyDescent="0.25">
      <c r="CM1089" s="582"/>
      <c r="CN1089" s="584" t="s">
        <v>4394</v>
      </c>
      <c r="CO1089" s="584" t="s">
        <v>1910</v>
      </c>
      <c r="CP1089" s="584" t="s">
        <v>1888</v>
      </c>
      <c r="CQ1089" s="584" t="s">
        <v>4395</v>
      </c>
      <c r="CR1089" s="584" t="s">
        <v>4395</v>
      </c>
      <c r="CS1089" s="584" t="s">
        <v>2583</v>
      </c>
      <c r="CT1089" s="584" t="s">
        <v>2584</v>
      </c>
      <c r="CU1089" s="584" t="s">
        <v>3080</v>
      </c>
      <c r="CV1089" s="585" t="s">
        <v>3081</v>
      </c>
    </row>
    <row r="1090" spans="91:100" ht="25.5" x14ac:dyDescent="0.25">
      <c r="CM1090" s="582"/>
      <c r="CN1090" s="584" t="s">
        <v>4396</v>
      </c>
      <c r="CO1090" s="584" t="s">
        <v>1910</v>
      </c>
      <c r="CP1090" s="584" t="s">
        <v>1888</v>
      </c>
      <c r="CQ1090" s="584" t="s">
        <v>4397</v>
      </c>
      <c r="CR1090" s="584" t="s">
        <v>4397</v>
      </c>
      <c r="CS1090" s="584" t="s">
        <v>2583</v>
      </c>
      <c r="CT1090" s="584" t="s">
        <v>2584</v>
      </c>
      <c r="CU1090" s="584" t="s">
        <v>3080</v>
      </c>
      <c r="CV1090" s="585" t="s">
        <v>3081</v>
      </c>
    </row>
    <row r="1091" spans="91:100" x14ac:dyDescent="0.25">
      <c r="CM1091" s="582"/>
      <c r="CN1091" s="584" t="s">
        <v>4398</v>
      </c>
      <c r="CO1091" s="584" t="s">
        <v>1910</v>
      </c>
      <c r="CP1091" s="584" t="s">
        <v>1888</v>
      </c>
      <c r="CQ1091" s="584" t="s">
        <v>4399</v>
      </c>
      <c r="CR1091" s="584" t="s">
        <v>4399</v>
      </c>
      <c r="CS1091" s="584" t="s">
        <v>1890</v>
      </c>
      <c r="CT1091" s="584" t="s">
        <v>3163</v>
      </c>
      <c r="CU1091" s="584" t="s">
        <v>1892</v>
      </c>
      <c r="CV1091" s="585" t="s">
        <v>1893</v>
      </c>
    </row>
    <row r="1092" spans="91:100" x14ac:dyDescent="0.25">
      <c r="CM1092" s="582"/>
      <c r="CN1092" s="584" t="s">
        <v>4400</v>
      </c>
      <c r="CO1092" s="584" t="s">
        <v>1910</v>
      </c>
      <c r="CP1092" s="584" t="s">
        <v>1888</v>
      </c>
      <c r="CQ1092" s="584" t="s">
        <v>4401</v>
      </c>
      <c r="CR1092" s="584" t="s">
        <v>4402</v>
      </c>
      <c r="CS1092" s="584" t="s">
        <v>1890</v>
      </c>
      <c r="CT1092" s="584" t="s">
        <v>3163</v>
      </c>
      <c r="CU1092" s="584" t="s">
        <v>1892</v>
      </c>
      <c r="CV1092" s="585" t="s">
        <v>1893</v>
      </c>
    </row>
    <row r="1093" spans="91:100" x14ac:dyDescent="0.25">
      <c r="CM1093" s="582"/>
      <c r="CN1093" s="584" t="s">
        <v>4403</v>
      </c>
      <c r="CO1093" s="584" t="s">
        <v>1910</v>
      </c>
      <c r="CP1093" s="584" t="s">
        <v>1888</v>
      </c>
      <c r="CQ1093" s="584" t="s">
        <v>4404</v>
      </c>
      <c r="CR1093" s="584" t="s">
        <v>4404</v>
      </c>
      <c r="CS1093" s="584" t="s">
        <v>1890</v>
      </c>
      <c r="CT1093" s="584" t="s">
        <v>3163</v>
      </c>
      <c r="CU1093" s="584" t="s">
        <v>1892</v>
      </c>
      <c r="CV1093" s="585" t="s">
        <v>1893</v>
      </c>
    </row>
    <row r="1094" spans="91:100" ht="25.5" x14ac:dyDescent="0.25">
      <c r="CM1094" s="582"/>
      <c r="CN1094" s="584" t="s">
        <v>4405</v>
      </c>
      <c r="CO1094" s="584" t="s">
        <v>1910</v>
      </c>
      <c r="CP1094" s="584" t="s">
        <v>1888</v>
      </c>
      <c r="CQ1094" s="584" t="s">
        <v>4406</v>
      </c>
      <c r="CR1094" s="584" t="s">
        <v>4406</v>
      </c>
      <c r="CS1094" s="584" t="s">
        <v>2583</v>
      </c>
      <c r="CT1094" s="584" t="s">
        <v>2584</v>
      </c>
      <c r="CU1094" s="584" t="s">
        <v>3080</v>
      </c>
      <c r="CV1094" s="585" t="s">
        <v>3081</v>
      </c>
    </row>
    <row r="1095" spans="91:100" ht="25.5" x14ac:dyDescent="0.25">
      <c r="CM1095" s="582"/>
      <c r="CN1095" s="584" t="s">
        <v>4407</v>
      </c>
      <c r="CO1095" s="584" t="s">
        <v>1910</v>
      </c>
      <c r="CP1095" s="584" t="s">
        <v>1888</v>
      </c>
      <c r="CQ1095" s="584" t="s">
        <v>4408</v>
      </c>
      <c r="CR1095" s="584" t="s">
        <v>4408</v>
      </c>
      <c r="CS1095" s="584" t="s">
        <v>2583</v>
      </c>
      <c r="CT1095" s="584" t="s">
        <v>2584</v>
      </c>
      <c r="CU1095" s="584" t="s">
        <v>3080</v>
      </c>
      <c r="CV1095" s="585" t="s">
        <v>3081</v>
      </c>
    </row>
    <row r="1096" spans="91:100" ht="25.5" x14ac:dyDescent="0.25">
      <c r="CM1096" s="582"/>
      <c r="CN1096" s="584" t="s">
        <v>4409</v>
      </c>
      <c r="CO1096" s="584" t="s">
        <v>1910</v>
      </c>
      <c r="CP1096" s="584" t="s">
        <v>1888</v>
      </c>
      <c r="CQ1096" s="584" t="s">
        <v>4410</v>
      </c>
      <c r="CR1096" s="584" t="s">
        <v>4410</v>
      </c>
      <c r="CS1096" s="584" t="s">
        <v>2583</v>
      </c>
      <c r="CT1096" s="584" t="s">
        <v>2584</v>
      </c>
      <c r="CU1096" s="584" t="s">
        <v>3080</v>
      </c>
      <c r="CV1096" s="585" t="s">
        <v>3081</v>
      </c>
    </row>
    <row r="1097" spans="91:100" ht="25.5" x14ac:dyDescent="0.25">
      <c r="CM1097" s="582"/>
      <c r="CN1097" s="584" t="s">
        <v>4411</v>
      </c>
      <c r="CO1097" s="584" t="s">
        <v>1910</v>
      </c>
      <c r="CP1097" s="584" t="s">
        <v>1888</v>
      </c>
      <c r="CQ1097" s="584" t="s">
        <v>4412</v>
      </c>
      <c r="CR1097" s="584" t="s">
        <v>4412</v>
      </c>
      <c r="CS1097" s="584" t="s">
        <v>2583</v>
      </c>
      <c r="CT1097" s="584" t="s">
        <v>2584</v>
      </c>
      <c r="CU1097" s="584" t="s">
        <v>3080</v>
      </c>
      <c r="CV1097" s="585" t="s">
        <v>3081</v>
      </c>
    </row>
    <row r="1098" spans="91:100" ht="25.5" x14ac:dyDescent="0.25">
      <c r="CM1098" s="582"/>
      <c r="CN1098" s="584" t="s">
        <v>4413</v>
      </c>
      <c r="CO1098" s="584" t="s">
        <v>1910</v>
      </c>
      <c r="CP1098" s="584" t="s">
        <v>1888</v>
      </c>
      <c r="CQ1098" s="584" t="s">
        <v>4414</v>
      </c>
      <c r="CR1098" s="584" t="s">
        <v>4414</v>
      </c>
      <c r="CS1098" s="584" t="s">
        <v>2583</v>
      </c>
      <c r="CT1098" s="584" t="s">
        <v>2584</v>
      </c>
      <c r="CU1098" s="584" t="s">
        <v>3080</v>
      </c>
      <c r="CV1098" s="585" t="s">
        <v>3081</v>
      </c>
    </row>
    <row r="1099" spans="91:100" ht="25.5" x14ac:dyDescent="0.25">
      <c r="CM1099" s="582"/>
      <c r="CN1099" s="584" t="s">
        <v>4415</v>
      </c>
      <c r="CO1099" s="584" t="s">
        <v>1910</v>
      </c>
      <c r="CP1099" s="584" t="s">
        <v>1888</v>
      </c>
      <c r="CQ1099" s="584" t="s">
        <v>4416</v>
      </c>
      <c r="CR1099" s="584" t="s">
        <v>4416</v>
      </c>
      <c r="CS1099" s="584" t="s">
        <v>2583</v>
      </c>
      <c r="CT1099" s="584" t="s">
        <v>2584</v>
      </c>
      <c r="CU1099" s="584" t="s">
        <v>3080</v>
      </c>
      <c r="CV1099" s="585" t="s">
        <v>3081</v>
      </c>
    </row>
    <row r="1100" spans="91:100" ht="25.5" x14ac:dyDescent="0.25">
      <c r="CM1100" s="582"/>
      <c r="CN1100" s="584" t="s">
        <v>4417</v>
      </c>
      <c r="CO1100" s="584" t="s">
        <v>1910</v>
      </c>
      <c r="CP1100" s="584" t="s">
        <v>1888</v>
      </c>
      <c r="CQ1100" s="584" t="s">
        <v>4418</v>
      </c>
      <c r="CR1100" s="584" t="s">
        <v>4418</v>
      </c>
      <c r="CS1100" s="584" t="s">
        <v>2583</v>
      </c>
      <c r="CT1100" s="584" t="s">
        <v>2584</v>
      </c>
      <c r="CU1100" s="584" t="s">
        <v>3080</v>
      </c>
      <c r="CV1100" s="585" t="s">
        <v>3081</v>
      </c>
    </row>
    <row r="1101" spans="91:100" ht="25.5" x14ac:dyDescent="0.25">
      <c r="CM1101" s="582"/>
      <c r="CN1101" s="584" t="s">
        <v>4419</v>
      </c>
      <c r="CO1101" s="584" t="s">
        <v>1910</v>
      </c>
      <c r="CP1101" s="584" t="s">
        <v>1888</v>
      </c>
      <c r="CQ1101" s="584" t="s">
        <v>4420</v>
      </c>
      <c r="CR1101" s="584" t="s">
        <v>4420</v>
      </c>
      <c r="CS1101" s="584" t="s">
        <v>2583</v>
      </c>
      <c r="CT1101" s="584" t="s">
        <v>2584</v>
      </c>
      <c r="CU1101" s="584" t="s">
        <v>3080</v>
      </c>
      <c r="CV1101" s="585" t="s">
        <v>3081</v>
      </c>
    </row>
    <row r="1102" spans="91:100" ht="25.5" x14ac:dyDescent="0.25">
      <c r="CM1102" s="582"/>
      <c r="CN1102" s="584" t="s">
        <v>4421</v>
      </c>
      <c r="CO1102" s="584" t="s">
        <v>1910</v>
      </c>
      <c r="CP1102" s="584" t="s">
        <v>1888</v>
      </c>
      <c r="CQ1102" s="584" t="s">
        <v>4422</v>
      </c>
      <c r="CR1102" s="584" t="s">
        <v>4422</v>
      </c>
      <c r="CS1102" s="584" t="s">
        <v>2583</v>
      </c>
      <c r="CT1102" s="584" t="s">
        <v>2584</v>
      </c>
      <c r="CU1102" s="584" t="s">
        <v>3080</v>
      </c>
      <c r="CV1102" s="585" t="s">
        <v>3081</v>
      </c>
    </row>
    <row r="1103" spans="91:100" ht="25.5" x14ac:dyDescent="0.25">
      <c r="CM1103" s="582"/>
      <c r="CN1103" s="584" t="s">
        <v>4423</v>
      </c>
      <c r="CO1103" s="584" t="s">
        <v>1910</v>
      </c>
      <c r="CP1103" s="584" t="s">
        <v>1888</v>
      </c>
      <c r="CQ1103" s="584" t="s">
        <v>4424</v>
      </c>
      <c r="CR1103" s="584" t="s">
        <v>4424</v>
      </c>
      <c r="CS1103" s="584" t="s">
        <v>2583</v>
      </c>
      <c r="CT1103" s="584" t="s">
        <v>2584</v>
      </c>
      <c r="CU1103" s="584" t="s">
        <v>3080</v>
      </c>
      <c r="CV1103" s="585" t="s">
        <v>3081</v>
      </c>
    </row>
    <row r="1104" spans="91:100" ht="25.5" x14ac:dyDescent="0.25">
      <c r="CM1104" s="582"/>
      <c r="CN1104" s="584" t="s">
        <v>4425</v>
      </c>
      <c r="CO1104" s="584" t="s">
        <v>1910</v>
      </c>
      <c r="CP1104" s="584" t="s">
        <v>1888</v>
      </c>
      <c r="CQ1104" s="584" t="s">
        <v>4426</v>
      </c>
      <c r="CR1104" s="584" t="s">
        <v>4426</v>
      </c>
      <c r="CS1104" s="584" t="s">
        <v>2583</v>
      </c>
      <c r="CT1104" s="584" t="s">
        <v>2584</v>
      </c>
      <c r="CU1104" s="584" t="s">
        <v>3080</v>
      </c>
      <c r="CV1104" s="585" t="s">
        <v>3081</v>
      </c>
    </row>
    <row r="1105" spans="91:100" ht="25.5" x14ac:dyDescent="0.25">
      <c r="CM1105" s="582"/>
      <c r="CN1105" s="584" t="s">
        <v>4427</v>
      </c>
      <c r="CO1105" s="584" t="s">
        <v>1910</v>
      </c>
      <c r="CP1105" s="584" t="s">
        <v>1888</v>
      </c>
      <c r="CQ1105" s="584" t="s">
        <v>4428</v>
      </c>
      <c r="CR1105" s="584" t="s">
        <v>4428</v>
      </c>
      <c r="CS1105" s="584" t="s">
        <v>2583</v>
      </c>
      <c r="CT1105" s="584" t="s">
        <v>2584</v>
      </c>
      <c r="CU1105" s="584" t="s">
        <v>3080</v>
      </c>
      <c r="CV1105" s="585" t="s">
        <v>3081</v>
      </c>
    </row>
    <row r="1106" spans="91:100" ht="25.5" x14ac:dyDescent="0.25">
      <c r="CM1106" s="582"/>
      <c r="CN1106" s="584" t="s">
        <v>4429</v>
      </c>
      <c r="CO1106" s="584" t="s">
        <v>1910</v>
      </c>
      <c r="CP1106" s="584" t="s">
        <v>1888</v>
      </c>
      <c r="CQ1106" s="584" t="s">
        <v>4430</v>
      </c>
      <c r="CR1106" s="584" t="s">
        <v>4430</v>
      </c>
      <c r="CS1106" s="584" t="s">
        <v>2583</v>
      </c>
      <c r="CT1106" s="584" t="s">
        <v>2584</v>
      </c>
      <c r="CU1106" s="584" t="s">
        <v>3080</v>
      </c>
      <c r="CV1106" s="585" t="s">
        <v>3081</v>
      </c>
    </row>
    <row r="1107" spans="91:100" ht="25.5" x14ac:dyDescent="0.25">
      <c r="CM1107" s="582"/>
      <c r="CN1107" s="584" t="s">
        <v>4431</v>
      </c>
      <c r="CO1107" s="584" t="s">
        <v>1910</v>
      </c>
      <c r="CP1107" s="584" t="s">
        <v>1888</v>
      </c>
      <c r="CQ1107" s="584" t="s">
        <v>4432</v>
      </c>
      <c r="CR1107" s="584" t="s">
        <v>4432</v>
      </c>
      <c r="CS1107" s="584" t="s">
        <v>2583</v>
      </c>
      <c r="CT1107" s="584" t="s">
        <v>2584</v>
      </c>
      <c r="CU1107" s="584" t="s">
        <v>3080</v>
      </c>
      <c r="CV1107" s="585" t="s">
        <v>3081</v>
      </c>
    </row>
    <row r="1108" spans="91:100" ht="25.5" x14ac:dyDescent="0.25">
      <c r="CM1108" s="582"/>
      <c r="CN1108" s="584" t="s">
        <v>4433</v>
      </c>
      <c r="CO1108" s="584" t="s">
        <v>1910</v>
      </c>
      <c r="CP1108" s="584" t="s">
        <v>1888</v>
      </c>
      <c r="CQ1108" s="584" t="s">
        <v>4434</v>
      </c>
      <c r="CR1108" s="584" t="s">
        <v>4434</v>
      </c>
      <c r="CS1108" s="584" t="s">
        <v>2583</v>
      </c>
      <c r="CT1108" s="584" t="s">
        <v>2584</v>
      </c>
      <c r="CU1108" s="584" t="s">
        <v>3080</v>
      </c>
      <c r="CV1108" s="585" t="s">
        <v>3081</v>
      </c>
    </row>
    <row r="1109" spans="91:100" ht="25.5" x14ac:dyDescent="0.25">
      <c r="CM1109" s="582"/>
      <c r="CN1109" s="584" t="s">
        <v>4435</v>
      </c>
      <c r="CO1109" s="584" t="s">
        <v>1910</v>
      </c>
      <c r="CP1109" s="584" t="s">
        <v>1888</v>
      </c>
      <c r="CQ1109" s="584" t="s">
        <v>4436</v>
      </c>
      <c r="CR1109" s="584" t="s">
        <v>4436</v>
      </c>
      <c r="CS1109" s="584" t="s">
        <v>2583</v>
      </c>
      <c r="CT1109" s="584" t="s">
        <v>2584</v>
      </c>
      <c r="CU1109" s="584" t="s">
        <v>3080</v>
      </c>
      <c r="CV1109" s="585" t="s">
        <v>3081</v>
      </c>
    </row>
    <row r="1110" spans="91:100" ht="25.5" x14ac:dyDescent="0.25">
      <c r="CM1110" s="582"/>
      <c r="CN1110" s="584" t="s">
        <v>4437</v>
      </c>
      <c r="CO1110" s="584" t="s">
        <v>1910</v>
      </c>
      <c r="CP1110" s="584" t="s">
        <v>1888</v>
      </c>
      <c r="CQ1110" s="584" t="s">
        <v>4438</v>
      </c>
      <c r="CR1110" s="584" t="s">
        <v>4438</v>
      </c>
      <c r="CS1110" s="584" t="s">
        <v>2583</v>
      </c>
      <c r="CT1110" s="584" t="s">
        <v>2584</v>
      </c>
      <c r="CU1110" s="584" t="s">
        <v>3080</v>
      </c>
      <c r="CV1110" s="585" t="s">
        <v>3081</v>
      </c>
    </row>
    <row r="1111" spans="91:100" ht="25.5" x14ac:dyDescent="0.25">
      <c r="CM1111" s="582"/>
      <c r="CN1111" s="584" t="s">
        <v>4439</v>
      </c>
      <c r="CO1111" s="584" t="s">
        <v>1910</v>
      </c>
      <c r="CP1111" s="584" t="s">
        <v>1888</v>
      </c>
      <c r="CQ1111" s="584" t="s">
        <v>4440</v>
      </c>
      <c r="CR1111" s="584" t="s">
        <v>4440</v>
      </c>
      <c r="CS1111" s="584" t="s">
        <v>2583</v>
      </c>
      <c r="CT1111" s="584" t="s">
        <v>2584</v>
      </c>
      <c r="CU1111" s="584" t="s">
        <v>3080</v>
      </c>
      <c r="CV1111" s="585" t="s">
        <v>3081</v>
      </c>
    </row>
    <row r="1112" spans="91:100" ht="25.5" x14ac:dyDescent="0.25">
      <c r="CM1112" s="582"/>
      <c r="CN1112" s="584" t="s">
        <v>4441</v>
      </c>
      <c r="CO1112" s="584" t="s">
        <v>1910</v>
      </c>
      <c r="CP1112" s="584" t="s">
        <v>1888</v>
      </c>
      <c r="CQ1112" s="584" t="s">
        <v>4442</v>
      </c>
      <c r="CR1112" s="584" t="s">
        <v>4442</v>
      </c>
      <c r="CS1112" s="584" t="s">
        <v>2583</v>
      </c>
      <c r="CT1112" s="584" t="s">
        <v>2584</v>
      </c>
      <c r="CU1112" s="584" t="s">
        <v>3080</v>
      </c>
      <c r="CV1112" s="585" t="s">
        <v>3081</v>
      </c>
    </row>
    <row r="1113" spans="91:100" ht="25.5" x14ac:dyDescent="0.25">
      <c r="CM1113" s="582"/>
      <c r="CN1113" s="584" t="s">
        <v>4443</v>
      </c>
      <c r="CO1113" s="584" t="s">
        <v>1910</v>
      </c>
      <c r="CP1113" s="584" t="s">
        <v>1888</v>
      </c>
      <c r="CQ1113" s="584" t="s">
        <v>4444</v>
      </c>
      <c r="CR1113" s="584" t="s">
        <v>4444</v>
      </c>
      <c r="CS1113" s="584" t="s">
        <v>2583</v>
      </c>
      <c r="CT1113" s="584" t="s">
        <v>2584</v>
      </c>
      <c r="CU1113" s="584" t="s">
        <v>3080</v>
      </c>
      <c r="CV1113" s="585" t="s">
        <v>3081</v>
      </c>
    </row>
    <row r="1114" spans="91:100" ht="25.5" x14ac:dyDescent="0.25">
      <c r="CM1114" s="582"/>
      <c r="CN1114" s="584" t="s">
        <v>4445</v>
      </c>
      <c r="CO1114" s="584" t="s">
        <v>1910</v>
      </c>
      <c r="CP1114" s="584" t="s">
        <v>1888</v>
      </c>
      <c r="CQ1114" s="584" t="s">
        <v>4446</v>
      </c>
      <c r="CR1114" s="584" t="s">
        <v>4446</v>
      </c>
      <c r="CS1114" s="584" t="s">
        <v>2583</v>
      </c>
      <c r="CT1114" s="584" t="s">
        <v>2584</v>
      </c>
      <c r="CU1114" s="584" t="s">
        <v>3080</v>
      </c>
      <c r="CV1114" s="585" t="s">
        <v>3081</v>
      </c>
    </row>
    <row r="1115" spans="91:100" ht="25.5" x14ac:dyDescent="0.25">
      <c r="CM1115" s="582"/>
      <c r="CN1115" s="584" t="s">
        <v>4447</v>
      </c>
      <c r="CO1115" s="584" t="s">
        <v>1910</v>
      </c>
      <c r="CP1115" s="584" t="s">
        <v>1888</v>
      </c>
      <c r="CQ1115" s="584" t="s">
        <v>4448</v>
      </c>
      <c r="CR1115" s="584" t="s">
        <v>4448</v>
      </c>
      <c r="CS1115" s="584" t="s">
        <v>2583</v>
      </c>
      <c r="CT1115" s="584" t="s">
        <v>2584</v>
      </c>
      <c r="CU1115" s="584" t="s">
        <v>3080</v>
      </c>
      <c r="CV1115" s="585" t="s">
        <v>3081</v>
      </c>
    </row>
    <row r="1116" spans="91:100" ht="25.5" x14ac:dyDescent="0.25">
      <c r="CM1116" s="582"/>
      <c r="CN1116" s="584" t="s">
        <v>4449</v>
      </c>
      <c r="CO1116" s="584" t="s">
        <v>1910</v>
      </c>
      <c r="CP1116" s="584" t="s">
        <v>1888</v>
      </c>
      <c r="CQ1116" s="584" t="s">
        <v>4450</v>
      </c>
      <c r="CR1116" s="584" t="s">
        <v>4450</v>
      </c>
      <c r="CS1116" s="584" t="s">
        <v>2583</v>
      </c>
      <c r="CT1116" s="584" t="s">
        <v>2584</v>
      </c>
      <c r="CU1116" s="584" t="s">
        <v>3080</v>
      </c>
      <c r="CV1116" s="585" t="s">
        <v>3081</v>
      </c>
    </row>
    <row r="1117" spans="91:100" ht="25.5" x14ac:dyDescent="0.25">
      <c r="CM1117" s="582"/>
      <c r="CN1117" s="584" t="s">
        <v>4451</v>
      </c>
      <c r="CO1117" s="584" t="s">
        <v>1910</v>
      </c>
      <c r="CP1117" s="584" t="s">
        <v>1888</v>
      </c>
      <c r="CQ1117" s="584" t="s">
        <v>4452</v>
      </c>
      <c r="CR1117" s="584" t="s">
        <v>4452</v>
      </c>
      <c r="CS1117" s="584" t="s">
        <v>2583</v>
      </c>
      <c r="CT1117" s="584" t="s">
        <v>2584</v>
      </c>
      <c r="CU1117" s="584" t="s">
        <v>3080</v>
      </c>
      <c r="CV1117" s="585" t="s">
        <v>3081</v>
      </c>
    </row>
    <row r="1118" spans="91:100" ht="25.5" x14ac:dyDescent="0.25">
      <c r="CM1118" s="582"/>
      <c r="CN1118" s="584" t="s">
        <v>4453</v>
      </c>
      <c r="CO1118" s="584" t="s">
        <v>1910</v>
      </c>
      <c r="CP1118" s="584" t="s">
        <v>1888</v>
      </c>
      <c r="CQ1118" s="584" t="s">
        <v>4454</v>
      </c>
      <c r="CR1118" s="584" t="s">
        <v>4454</v>
      </c>
      <c r="CS1118" s="584" t="s">
        <v>2583</v>
      </c>
      <c r="CT1118" s="584" t="s">
        <v>2584</v>
      </c>
      <c r="CU1118" s="584" t="s">
        <v>3080</v>
      </c>
      <c r="CV1118" s="585" t="s">
        <v>3081</v>
      </c>
    </row>
    <row r="1119" spans="91:100" ht="25.5" x14ac:dyDescent="0.25">
      <c r="CM1119" s="582"/>
      <c r="CN1119" s="584" t="s">
        <v>4455</v>
      </c>
      <c r="CO1119" s="584" t="s">
        <v>1910</v>
      </c>
      <c r="CP1119" s="584" t="s">
        <v>1888</v>
      </c>
      <c r="CQ1119" s="584" t="s">
        <v>4456</v>
      </c>
      <c r="CR1119" s="584" t="s">
        <v>4456</v>
      </c>
      <c r="CS1119" s="584" t="s">
        <v>2583</v>
      </c>
      <c r="CT1119" s="584" t="s">
        <v>2584</v>
      </c>
      <c r="CU1119" s="584" t="s">
        <v>3080</v>
      </c>
      <c r="CV1119" s="585" t="s">
        <v>3081</v>
      </c>
    </row>
    <row r="1120" spans="91:100" ht="25.5" x14ac:dyDescent="0.25">
      <c r="CM1120" s="582"/>
      <c r="CN1120" s="584" t="s">
        <v>4457</v>
      </c>
      <c r="CO1120" s="584" t="s">
        <v>1910</v>
      </c>
      <c r="CP1120" s="584" t="s">
        <v>1888</v>
      </c>
      <c r="CQ1120" s="584" t="s">
        <v>4458</v>
      </c>
      <c r="CR1120" s="584" t="s">
        <v>4458</v>
      </c>
      <c r="CS1120" s="584" t="s">
        <v>2583</v>
      </c>
      <c r="CT1120" s="584" t="s">
        <v>2584</v>
      </c>
      <c r="CU1120" s="584" t="s">
        <v>3080</v>
      </c>
      <c r="CV1120" s="585" t="s">
        <v>3081</v>
      </c>
    </row>
    <row r="1121" spans="91:100" ht="25.5" x14ac:dyDescent="0.25">
      <c r="CM1121" s="582"/>
      <c r="CN1121" s="584" t="s">
        <v>4459</v>
      </c>
      <c r="CO1121" s="584" t="s">
        <v>1910</v>
      </c>
      <c r="CP1121" s="584" t="s">
        <v>1888</v>
      </c>
      <c r="CQ1121" s="584" t="s">
        <v>4460</v>
      </c>
      <c r="CR1121" s="584" t="s">
        <v>4460</v>
      </c>
      <c r="CS1121" s="584" t="s">
        <v>2583</v>
      </c>
      <c r="CT1121" s="584" t="s">
        <v>2584</v>
      </c>
      <c r="CU1121" s="584" t="s">
        <v>3080</v>
      </c>
      <c r="CV1121" s="585" t="s">
        <v>3081</v>
      </c>
    </row>
    <row r="1122" spans="91:100" ht="25.5" x14ac:dyDescent="0.25">
      <c r="CM1122" s="582"/>
      <c r="CN1122" s="584" t="s">
        <v>4461</v>
      </c>
      <c r="CO1122" s="584" t="s">
        <v>1910</v>
      </c>
      <c r="CP1122" s="584" t="s">
        <v>1888</v>
      </c>
      <c r="CQ1122" s="584" t="s">
        <v>4462</v>
      </c>
      <c r="CR1122" s="584" t="s">
        <v>4462</v>
      </c>
      <c r="CS1122" s="584" t="s">
        <v>2583</v>
      </c>
      <c r="CT1122" s="584" t="s">
        <v>2584</v>
      </c>
      <c r="CU1122" s="584" t="s">
        <v>3080</v>
      </c>
      <c r="CV1122" s="585" t="s">
        <v>3081</v>
      </c>
    </row>
    <row r="1123" spans="91:100" ht="25.5" x14ac:dyDescent="0.25">
      <c r="CM1123" s="582"/>
      <c r="CN1123" s="584" t="s">
        <v>4463</v>
      </c>
      <c r="CO1123" s="584" t="s">
        <v>1910</v>
      </c>
      <c r="CP1123" s="584" t="s">
        <v>1888</v>
      </c>
      <c r="CQ1123" s="584" t="s">
        <v>4464</v>
      </c>
      <c r="CR1123" s="584" t="s">
        <v>4464</v>
      </c>
      <c r="CS1123" s="584" t="s">
        <v>2583</v>
      </c>
      <c r="CT1123" s="584" t="s">
        <v>2584</v>
      </c>
      <c r="CU1123" s="584" t="s">
        <v>3080</v>
      </c>
      <c r="CV1123" s="585" t="s">
        <v>3081</v>
      </c>
    </row>
    <row r="1124" spans="91:100" ht="25.5" x14ac:dyDescent="0.25">
      <c r="CM1124" s="582"/>
      <c r="CN1124" s="584" t="s">
        <v>4465</v>
      </c>
      <c r="CO1124" s="584" t="s">
        <v>1910</v>
      </c>
      <c r="CP1124" s="584" t="s">
        <v>1888</v>
      </c>
      <c r="CQ1124" s="584" t="s">
        <v>4466</v>
      </c>
      <c r="CR1124" s="584" t="s">
        <v>4466</v>
      </c>
      <c r="CS1124" s="584" t="s">
        <v>2583</v>
      </c>
      <c r="CT1124" s="584" t="s">
        <v>2584</v>
      </c>
      <c r="CU1124" s="584" t="s">
        <v>3080</v>
      </c>
      <c r="CV1124" s="585" t="s">
        <v>3081</v>
      </c>
    </row>
    <row r="1125" spans="91:100" ht="25.5" x14ac:dyDescent="0.25">
      <c r="CM1125" s="582"/>
      <c r="CN1125" s="584" t="s">
        <v>4467</v>
      </c>
      <c r="CO1125" s="584" t="s">
        <v>1910</v>
      </c>
      <c r="CP1125" s="584" t="s">
        <v>1888</v>
      </c>
      <c r="CQ1125" s="584" t="s">
        <v>4468</v>
      </c>
      <c r="CR1125" s="584" t="s">
        <v>4468</v>
      </c>
      <c r="CS1125" s="584" t="s">
        <v>2583</v>
      </c>
      <c r="CT1125" s="584" t="s">
        <v>2584</v>
      </c>
      <c r="CU1125" s="584" t="s">
        <v>3080</v>
      </c>
      <c r="CV1125" s="585" t="s">
        <v>3081</v>
      </c>
    </row>
    <row r="1126" spans="91:100" ht="25.5" x14ac:dyDescent="0.25">
      <c r="CM1126" s="582"/>
      <c r="CN1126" s="584" t="s">
        <v>4469</v>
      </c>
      <c r="CO1126" s="584" t="s">
        <v>1910</v>
      </c>
      <c r="CP1126" s="584" t="s">
        <v>1888</v>
      </c>
      <c r="CQ1126" s="584" t="s">
        <v>4470</v>
      </c>
      <c r="CR1126" s="584" t="s">
        <v>4470</v>
      </c>
      <c r="CS1126" s="584" t="s">
        <v>2583</v>
      </c>
      <c r="CT1126" s="584" t="s">
        <v>2584</v>
      </c>
      <c r="CU1126" s="584" t="s">
        <v>3080</v>
      </c>
      <c r="CV1126" s="585" t="s">
        <v>3081</v>
      </c>
    </row>
    <row r="1127" spans="91:100" ht="25.5" x14ac:dyDescent="0.25">
      <c r="CM1127" s="582"/>
      <c r="CN1127" s="584" t="s">
        <v>4471</v>
      </c>
      <c r="CO1127" s="584" t="s">
        <v>1910</v>
      </c>
      <c r="CP1127" s="584" t="s">
        <v>1888</v>
      </c>
      <c r="CQ1127" s="584" t="s">
        <v>4472</v>
      </c>
      <c r="CR1127" s="584" t="s">
        <v>4472</v>
      </c>
      <c r="CS1127" s="584" t="s">
        <v>2583</v>
      </c>
      <c r="CT1127" s="584" t="s">
        <v>2584</v>
      </c>
      <c r="CU1127" s="584" t="s">
        <v>3080</v>
      </c>
      <c r="CV1127" s="585" t="s">
        <v>3081</v>
      </c>
    </row>
    <row r="1128" spans="91:100" ht="25.5" x14ac:dyDescent="0.25">
      <c r="CM1128" s="582"/>
      <c r="CN1128" s="584" t="s">
        <v>4473</v>
      </c>
      <c r="CO1128" s="584" t="s">
        <v>1910</v>
      </c>
      <c r="CP1128" s="584" t="s">
        <v>1888</v>
      </c>
      <c r="CQ1128" s="584" t="s">
        <v>4474</v>
      </c>
      <c r="CR1128" s="584" t="s">
        <v>4474</v>
      </c>
      <c r="CS1128" s="584" t="s">
        <v>2583</v>
      </c>
      <c r="CT1128" s="584" t="s">
        <v>2584</v>
      </c>
      <c r="CU1128" s="584" t="s">
        <v>3080</v>
      </c>
      <c r="CV1128" s="585" t="s">
        <v>3081</v>
      </c>
    </row>
    <row r="1129" spans="91:100" ht="25.5" x14ac:dyDescent="0.25">
      <c r="CM1129" s="582"/>
      <c r="CN1129" s="584" t="s">
        <v>4475</v>
      </c>
      <c r="CO1129" s="584" t="s">
        <v>1910</v>
      </c>
      <c r="CP1129" s="584" t="s">
        <v>1888</v>
      </c>
      <c r="CQ1129" s="584" t="s">
        <v>4476</v>
      </c>
      <c r="CR1129" s="584" t="s">
        <v>4476</v>
      </c>
      <c r="CS1129" s="584" t="s">
        <v>2583</v>
      </c>
      <c r="CT1129" s="584" t="s">
        <v>2584</v>
      </c>
      <c r="CU1129" s="584" t="s">
        <v>3080</v>
      </c>
      <c r="CV1129" s="585" t="s">
        <v>3081</v>
      </c>
    </row>
    <row r="1130" spans="91:100" ht="25.5" x14ac:dyDescent="0.25">
      <c r="CM1130" s="582"/>
      <c r="CN1130" s="584" t="s">
        <v>4477</v>
      </c>
      <c r="CO1130" s="584" t="s">
        <v>1910</v>
      </c>
      <c r="CP1130" s="584" t="s">
        <v>1888</v>
      </c>
      <c r="CQ1130" s="584" t="s">
        <v>4478</v>
      </c>
      <c r="CR1130" s="584" t="s">
        <v>4478</v>
      </c>
      <c r="CS1130" s="584" t="s">
        <v>2583</v>
      </c>
      <c r="CT1130" s="584" t="s">
        <v>2584</v>
      </c>
      <c r="CU1130" s="584" t="s">
        <v>3080</v>
      </c>
      <c r="CV1130" s="585" t="s">
        <v>3081</v>
      </c>
    </row>
    <row r="1131" spans="91:100" ht="25.5" x14ac:dyDescent="0.25">
      <c r="CM1131" s="582"/>
      <c r="CN1131" s="584" t="s">
        <v>4479</v>
      </c>
      <c r="CO1131" s="584" t="s">
        <v>1910</v>
      </c>
      <c r="CP1131" s="584" t="s">
        <v>1888</v>
      </c>
      <c r="CQ1131" s="584" t="s">
        <v>4480</v>
      </c>
      <c r="CR1131" s="584" t="s">
        <v>4480</v>
      </c>
      <c r="CS1131" s="584" t="s">
        <v>2583</v>
      </c>
      <c r="CT1131" s="584" t="s">
        <v>2584</v>
      </c>
      <c r="CU1131" s="584" t="s">
        <v>3080</v>
      </c>
      <c r="CV1131" s="585" t="s">
        <v>3081</v>
      </c>
    </row>
    <row r="1132" spans="91:100" ht="25.5" x14ac:dyDescent="0.25">
      <c r="CM1132" s="582"/>
      <c r="CN1132" s="584" t="s">
        <v>4481</v>
      </c>
      <c r="CO1132" s="584" t="s">
        <v>1910</v>
      </c>
      <c r="CP1132" s="584" t="s">
        <v>1888</v>
      </c>
      <c r="CQ1132" s="584" t="s">
        <v>4482</v>
      </c>
      <c r="CR1132" s="584" t="s">
        <v>4482</v>
      </c>
      <c r="CS1132" s="584" t="s">
        <v>2583</v>
      </c>
      <c r="CT1132" s="584" t="s">
        <v>2584</v>
      </c>
      <c r="CU1132" s="584" t="s">
        <v>3080</v>
      </c>
      <c r="CV1132" s="585" t="s">
        <v>3081</v>
      </c>
    </row>
    <row r="1133" spans="91:100" ht="25.5" x14ac:dyDescent="0.25">
      <c r="CM1133" s="582"/>
      <c r="CN1133" s="584" t="s">
        <v>4483</v>
      </c>
      <c r="CO1133" s="584" t="s">
        <v>1910</v>
      </c>
      <c r="CP1133" s="584" t="s">
        <v>1888</v>
      </c>
      <c r="CQ1133" s="584" t="s">
        <v>4484</v>
      </c>
      <c r="CR1133" s="584" t="s">
        <v>4484</v>
      </c>
      <c r="CS1133" s="584" t="s">
        <v>2583</v>
      </c>
      <c r="CT1133" s="584" t="s">
        <v>2584</v>
      </c>
      <c r="CU1133" s="584" t="s">
        <v>3080</v>
      </c>
      <c r="CV1133" s="585" t="s">
        <v>3081</v>
      </c>
    </row>
    <row r="1134" spans="91:100" ht="25.5" x14ac:dyDescent="0.25">
      <c r="CM1134" s="582"/>
      <c r="CN1134" s="584" t="s">
        <v>4485</v>
      </c>
      <c r="CO1134" s="584" t="s">
        <v>1910</v>
      </c>
      <c r="CP1134" s="584" t="s">
        <v>1888</v>
      </c>
      <c r="CQ1134" s="584" t="s">
        <v>4486</v>
      </c>
      <c r="CR1134" s="584" t="s">
        <v>4486</v>
      </c>
      <c r="CS1134" s="584" t="s">
        <v>2583</v>
      </c>
      <c r="CT1134" s="584" t="s">
        <v>2584</v>
      </c>
      <c r="CU1134" s="584" t="s">
        <v>3080</v>
      </c>
      <c r="CV1134" s="585" t="s">
        <v>3081</v>
      </c>
    </row>
    <row r="1135" spans="91:100" ht="25.5" x14ac:dyDescent="0.25">
      <c r="CM1135" s="582"/>
      <c r="CN1135" s="584" t="s">
        <v>4487</v>
      </c>
      <c r="CO1135" s="584" t="s">
        <v>1910</v>
      </c>
      <c r="CP1135" s="584" t="s">
        <v>1888</v>
      </c>
      <c r="CQ1135" s="584" t="s">
        <v>4488</v>
      </c>
      <c r="CR1135" s="584" t="s">
        <v>4488</v>
      </c>
      <c r="CS1135" s="584" t="s">
        <v>2583</v>
      </c>
      <c r="CT1135" s="584" t="s">
        <v>2584</v>
      </c>
      <c r="CU1135" s="584" t="s">
        <v>3080</v>
      </c>
      <c r="CV1135" s="585" t="s">
        <v>3081</v>
      </c>
    </row>
    <row r="1136" spans="91:100" ht="25.5" x14ac:dyDescent="0.25">
      <c r="CM1136" s="582"/>
      <c r="CN1136" s="584" t="s">
        <v>4489</v>
      </c>
      <c r="CO1136" s="584" t="s">
        <v>1910</v>
      </c>
      <c r="CP1136" s="584" t="s">
        <v>1888</v>
      </c>
      <c r="CQ1136" s="584" t="s">
        <v>4490</v>
      </c>
      <c r="CR1136" s="584" t="s">
        <v>4490</v>
      </c>
      <c r="CS1136" s="584" t="s">
        <v>2583</v>
      </c>
      <c r="CT1136" s="584" t="s">
        <v>2584</v>
      </c>
      <c r="CU1136" s="584" t="s">
        <v>3080</v>
      </c>
      <c r="CV1136" s="585" t="s">
        <v>3081</v>
      </c>
    </row>
    <row r="1137" spans="91:100" ht="25.5" x14ac:dyDescent="0.25">
      <c r="CM1137" s="582"/>
      <c r="CN1137" s="584" t="s">
        <v>4491</v>
      </c>
      <c r="CO1137" s="584" t="s">
        <v>1910</v>
      </c>
      <c r="CP1137" s="584" t="s">
        <v>1888</v>
      </c>
      <c r="CQ1137" s="584" t="s">
        <v>4492</v>
      </c>
      <c r="CR1137" s="584" t="s">
        <v>4492</v>
      </c>
      <c r="CS1137" s="584" t="s">
        <v>2583</v>
      </c>
      <c r="CT1137" s="584" t="s">
        <v>2584</v>
      </c>
      <c r="CU1137" s="584" t="s">
        <v>3080</v>
      </c>
      <c r="CV1137" s="585" t="s">
        <v>3081</v>
      </c>
    </row>
    <row r="1138" spans="91:100" ht="25.5" x14ac:dyDescent="0.25">
      <c r="CM1138" s="582"/>
      <c r="CN1138" s="584" t="s">
        <v>4493</v>
      </c>
      <c r="CO1138" s="584" t="s">
        <v>1910</v>
      </c>
      <c r="CP1138" s="584" t="s">
        <v>1888</v>
      </c>
      <c r="CQ1138" s="584" t="s">
        <v>4494</v>
      </c>
      <c r="CR1138" s="584" t="s">
        <v>4494</v>
      </c>
      <c r="CS1138" s="584" t="s">
        <v>2583</v>
      </c>
      <c r="CT1138" s="584" t="s">
        <v>2584</v>
      </c>
      <c r="CU1138" s="584" t="s">
        <v>3080</v>
      </c>
      <c r="CV1138" s="585" t="s">
        <v>3081</v>
      </c>
    </row>
    <row r="1139" spans="91:100" ht="25.5" x14ac:dyDescent="0.25">
      <c r="CM1139" s="582"/>
      <c r="CN1139" s="584" t="s">
        <v>4495</v>
      </c>
      <c r="CO1139" s="584" t="s">
        <v>1910</v>
      </c>
      <c r="CP1139" s="584" t="s">
        <v>1888</v>
      </c>
      <c r="CQ1139" s="584" t="s">
        <v>4496</v>
      </c>
      <c r="CR1139" s="584" t="s">
        <v>4496</v>
      </c>
      <c r="CS1139" s="584" t="s">
        <v>2583</v>
      </c>
      <c r="CT1139" s="584" t="s">
        <v>2584</v>
      </c>
      <c r="CU1139" s="584" t="s">
        <v>3080</v>
      </c>
      <c r="CV1139" s="585" t="s">
        <v>3081</v>
      </c>
    </row>
    <row r="1140" spans="91:100" ht="25.5" x14ac:dyDescent="0.25">
      <c r="CM1140" s="582"/>
      <c r="CN1140" s="584" t="s">
        <v>4497</v>
      </c>
      <c r="CO1140" s="584" t="s">
        <v>1910</v>
      </c>
      <c r="CP1140" s="584" t="s">
        <v>1888</v>
      </c>
      <c r="CQ1140" s="584" t="s">
        <v>4498</v>
      </c>
      <c r="CR1140" s="584" t="s">
        <v>4498</v>
      </c>
      <c r="CS1140" s="584" t="s">
        <v>2583</v>
      </c>
      <c r="CT1140" s="584" t="s">
        <v>2584</v>
      </c>
      <c r="CU1140" s="584" t="s">
        <v>3080</v>
      </c>
      <c r="CV1140" s="585" t="s">
        <v>3081</v>
      </c>
    </row>
    <row r="1141" spans="91:100" ht="25.5" x14ac:dyDescent="0.25">
      <c r="CM1141" s="582"/>
      <c r="CN1141" s="584" t="s">
        <v>4499</v>
      </c>
      <c r="CO1141" s="584" t="s">
        <v>1910</v>
      </c>
      <c r="CP1141" s="584" t="s">
        <v>1888</v>
      </c>
      <c r="CQ1141" s="584" t="s">
        <v>4500</v>
      </c>
      <c r="CR1141" s="584" t="s">
        <v>4500</v>
      </c>
      <c r="CS1141" s="584" t="s">
        <v>2583</v>
      </c>
      <c r="CT1141" s="584" t="s">
        <v>2584</v>
      </c>
      <c r="CU1141" s="584" t="s">
        <v>3080</v>
      </c>
      <c r="CV1141" s="585" t="s">
        <v>3081</v>
      </c>
    </row>
    <row r="1142" spans="91:100" ht="25.5" x14ac:dyDescent="0.25">
      <c r="CM1142" s="582"/>
      <c r="CN1142" s="584" t="s">
        <v>4501</v>
      </c>
      <c r="CO1142" s="584" t="s">
        <v>1910</v>
      </c>
      <c r="CP1142" s="584" t="s">
        <v>1888</v>
      </c>
      <c r="CQ1142" s="584" t="s">
        <v>4502</v>
      </c>
      <c r="CR1142" s="584" t="s">
        <v>4502</v>
      </c>
      <c r="CS1142" s="584" t="s">
        <v>2583</v>
      </c>
      <c r="CT1142" s="584" t="s">
        <v>2584</v>
      </c>
      <c r="CU1142" s="584" t="s">
        <v>3080</v>
      </c>
      <c r="CV1142" s="585" t="s">
        <v>3081</v>
      </c>
    </row>
    <row r="1143" spans="91:100" ht="25.5" x14ac:dyDescent="0.25">
      <c r="CM1143" s="582"/>
      <c r="CN1143" s="584" t="s">
        <v>4503</v>
      </c>
      <c r="CO1143" s="584" t="s">
        <v>1910</v>
      </c>
      <c r="CP1143" s="584" t="s">
        <v>1888</v>
      </c>
      <c r="CQ1143" s="584" t="s">
        <v>4504</v>
      </c>
      <c r="CR1143" s="584" t="s">
        <v>4504</v>
      </c>
      <c r="CS1143" s="584" t="s">
        <v>2583</v>
      </c>
      <c r="CT1143" s="584" t="s">
        <v>2584</v>
      </c>
      <c r="CU1143" s="584" t="s">
        <v>3080</v>
      </c>
      <c r="CV1143" s="585" t="s">
        <v>3081</v>
      </c>
    </row>
    <row r="1144" spans="91:100" ht="25.5" x14ac:dyDescent="0.25">
      <c r="CM1144" s="582"/>
      <c r="CN1144" s="584" t="s">
        <v>4505</v>
      </c>
      <c r="CO1144" s="584" t="s">
        <v>1910</v>
      </c>
      <c r="CP1144" s="584" t="s">
        <v>1888</v>
      </c>
      <c r="CQ1144" s="584" t="s">
        <v>4506</v>
      </c>
      <c r="CR1144" s="584" t="s">
        <v>4506</v>
      </c>
      <c r="CS1144" s="584" t="s">
        <v>2583</v>
      </c>
      <c r="CT1144" s="584" t="s">
        <v>2584</v>
      </c>
      <c r="CU1144" s="584" t="s">
        <v>3080</v>
      </c>
      <c r="CV1144" s="585" t="s">
        <v>3081</v>
      </c>
    </row>
    <row r="1145" spans="91:100" ht="25.5" x14ac:dyDescent="0.25">
      <c r="CM1145" s="582"/>
      <c r="CN1145" s="584" t="s">
        <v>4507</v>
      </c>
      <c r="CO1145" s="584" t="s">
        <v>1910</v>
      </c>
      <c r="CP1145" s="584" t="s">
        <v>1888</v>
      </c>
      <c r="CQ1145" s="584" t="s">
        <v>4508</v>
      </c>
      <c r="CR1145" s="584" t="s">
        <v>4508</v>
      </c>
      <c r="CS1145" s="584" t="s">
        <v>2583</v>
      </c>
      <c r="CT1145" s="584" t="s">
        <v>2584</v>
      </c>
      <c r="CU1145" s="584" t="s">
        <v>3080</v>
      </c>
      <c r="CV1145" s="585" t="s">
        <v>3081</v>
      </c>
    </row>
    <row r="1146" spans="91:100" ht="25.5" x14ac:dyDescent="0.25">
      <c r="CM1146" s="582"/>
      <c r="CN1146" s="584" t="s">
        <v>4509</v>
      </c>
      <c r="CO1146" s="584" t="s">
        <v>1910</v>
      </c>
      <c r="CP1146" s="584" t="s">
        <v>1888</v>
      </c>
      <c r="CQ1146" s="584" t="s">
        <v>4510</v>
      </c>
      <c r="CR1146" s="584" t="s">
        <v>4510</v>
      </c>
      <c r="CS1146" s="584" t="s">
        <v>2583</v>
      </c>
      <c r="CT1146" s="584" t="s">
        <v>2584</v>
      </c>
      <c r="CU1146" s="584" t="s">
        <v>3080</v>
      </c>
      <c r="CV1146" s="585" t="s">
        <v>3081</v>
      </c>
    </row>
    <row r="1147" spans="91:100" ht="25.5" x14ac:dyDescent="0.25">
      <c r="CM1147" s="582"/>
      <c r="CN1147" s="584" t="s">
        <v>4511</v>
      </c>
      <c r="CO1147" s="584" t="s">
        <v>1910</v>
      </c>
      <c r="CP1147" s="584" t="s">
        <v>1888</v>
      </c>
      <c r="CQ1147" s="584" t="s">
        <v>4512</v>
      </c>
      <c r="CR1147" s="584" t="s">
        <v>4512</v>
      </c>
      <c r="CS1147" s="584" t="s">
        <v>2583</v>
      </c>
      <c r="CT1147" s="584" t="s">
        <v>2584</v>
      </c>
      <c r="CU1147" s="584" t="s">
        <v>3080</v>
      </c>
      <c r="CV1147" s="585" t="s">
        <v>3081</v>
      </c>
    </row>
    <row r="1148" spans="91:100" ht="25.5" x14ac:dyDescent="0.25">
      <c r="CM1148" s="582"/>
      <c r="CN1148" s="584" t="s">
        <v>4513</v>
      </c>
      <c r="CO1148" s="584" t="s">
        <v>1910</v>
      </c>
      <c r="CP1148" s="584" t="s">
        <v>1888</v>
      </c>
      <c r="CQ1148" s="584" t="s">
        <v>4514</v>
      </c>
      <c r="CR1148" s="584" t="s">
        <v>4514</v>
      </c>
      <c r="CS1148" s="584" t="s">
        <v>2583</v>
      </c>
      <c r="CT1148" s="584" t="s">
        <v>2584</v>
      </c>
      <c r="CU1148" s="584" t="s">
        <v>3080</v>
      </c>
      <c r="CV1148" s="585" t="s">
        <v>3081</v>
      </c>
    </row>
    <row r="1149" spans="91:100" ht="25.5" x14ac:dyDescent="0.25">
      <c r="CM1149" s="582"/>
      <c r="CN1149" s="584" t="s">
        <v>4515</v>
      </c>
      <c r="CO1149" s="584" t="s">
        <v>1910</v>
      </c>
      <c r="CP1149" s="584" t="s">
        <v>1888</v>
      </c>
      <c r="CQ1149" s="584" t="s">
        <v>4516</v>
      </c>
      <c r="CR1149" s="584" t="s">
        <v>4516</v>
      </c>
      <c r="CS1149" s="584" t="s">
        <v>2583</v>
      </c>
      <c r="CT1149" s="584" t="s">
        <v>2584</v>
      </c>
      <c r="CU1149" s="584" t="s">
        <v>3080</v>
      </c>
      <c r="CV1149" s="585" t="s">
        <v>3081</v>
      </c>
    </row>
    <row r="1150" spans="91:100" x14ac:dyDescent="0.25">
      <c r="CM1150" s="582"/>
      <c r="CN1150" s="584" t="s">
        <v>4517</v>
      </c>
      <c r="CO1150" s="584" t="s">
        <v>1910</v>
      </c>
      <c r="CP1150" s="584" t="s">
        <v>1888</v>
      </c>
      <c r="CQ1150" s="584" t="s">
        <v>4518</v>
      </c>
      <c r="CR1150" s="584" t="s">
        <v>4518</v>
      </c>
      <c r="CS1150" s="584" t="s">
        <v>1890</v>
      </c>
      <c r="CT1150" s="584" t="s">
        <v>3163</v>
      </c>
      <c r="CU1150" s="584" t="s">
        <v>1892</v>
      </c>
      <c r="CV1150" s="585" t="s">
        <v>1893</v>
      </c>
    </row>
    <row r="1151" spans="91:100" ht="25.5" x14ac:dyDescent="0.25">
      <c r="CM1151" s="582"/>
      <c r="CN1151" s="584" t="s">
        <v>4519</v>
      </c>
      <c r="CO1151" s="584" t="s">
        <v>1910</v>
      </c>
      <c r="CP1151" s="584" t="s">
        <v>1888</v>
      </c>
      <c r="CQ1151" s="584" t="s">
        <v>4520</v>
      </c>
      <c r="CR1151" s="584" t="s">
        <v>4520</v>
      </c>
      <c r="CS1151" s="584" t="s">
        <v>2583</v>
      </c>
      <c r="CT1151" s="584" t="s">
        <v>2584</v>
      </c>
      <c r="CU1151" s="584" t="s">
        <v>3080</v>
      </c>
      <c r="CV1151" s="585" t="s">
        <v>3081</v>
      </c>
    </row>
    <row r="1152" spans="91:100" ht="25.5" x14ac:dyDescent="0.25">
      <c r="CM1152" s="582"/>
      <c r="CN1152" s="584" t="s">
        <v>4521</v>
      </c>
      <c r="CO1152" s="584" t="s">
        <v>1910</v>
      </c>
      <c r="CP1152" s="584" t="s">
        <v>1888</v>
      </c>
      <c r="CQ1152" s="584" t="s">
        <v>4522</v>
      </c>
      <c r="CR1152" s="584" t="s">
        <v>4522</v>
      </c>
      <c r="CS1152" s="584" t="s">
        <v>2583</v>
      </c>
      <c r="CT1152" s="584" t="s">
        <v>2584</v>
      </c>
      <c r="CU1152" s="584" t="s">
        <v>3080</v>
      </c>
      <c r="CV1152" s="585" t="s">
        <v>3081</v>
      </c>
    </row>
    <row r="1153" spans="91:100" ht="25.5" x14ac:dyDescent="0.25">
      <c r="CM1153" s="582"/>
      <c r="CN1153" s="584" t="s">
        <v>4523</v>
      </c>
      <c r="CO1153" s="584" t="s">
        <v>1910</v>
      </c>
      <c r="CP1153" s="584" t="s">
        <v>1888</v>
      </c>
      <c r="CQ1153" s="584" t="s">
        <v>4524</v>
      </c>
      <c r="CR1153" s="584" t="s">
        <v>4524</v>
      </c>
      <c r="CS1153" s="584" t="s">
        <v>2583</v>
      </c>
      <c r="CT1153" s="584" t="s">
        <v>2584</v>
      </c>
      <c r="CU1153" s="584" t="s">
        <v>3080</v>
      </c>
      <c r="CV1153" s="585" t="s">
        <v>3081</v>
      </c>
    </row>
    <row r="1154" spans="91:100" ht="25.5" x14ac:dyDescent="0.25">
      <c r="CM1154" s="582"/>
      <c r="CN1154" s="584" t="s">
        <v>4525</v>
      </c>
      <c r="CO1154" s="584" t="s">
        <v>1910</v>
      </c>
      <c r="CP1154" s="584" t="s">
        <v>1888</v>
      </c>
      <c r="CQ1154" s="584" t="s">
        <v>4526</v>
      </c>
      <c r="CR1154" s="584" t="s">
        <v>4526</v>
      </c>
      <c r="CS1154" s="584" t="s">
        <v>2583</v>
      </c>
      <c r="CT1154" s="584" t="s">
        <v>2584</v>
      </c>
      <c r="CU1154" s="584" t="s">
        <v>3080</v>
      </c>
      <c r="CV1154" s="585" t="s">
        <v>3081</v>
      </c>
    </row>
    <row r="1155" spans="91:100" ht="25.5" x14ac:dyDescent="0.25">
      <c r="CM1155" s="582"/>
      <c r="CN1155" s="584" t="s">
        <v>4527</v>
      </c>
      <c r="CO1155" s="584" t="s">
        <v>1910</v>
      </c>
      <c r="CP1155" s="584" t="s">
        <v>1888</v>
      </c>
      <c r="CQ1155" s="584" t="s">
        <v>4528</v>
      </c>
      <c r="CR1155" s="584" t="s">
        <v>4528</v>
      </c>
      <c r="CS1155" s="584" t="s">
        <v>2583</v>
      </c>
      <c r="CT1155" s="584" t="s">
        <v>2584</v>
      </c>
      <c r="CU1155" s="584" t="s">
        <v>3080</v>
      </c>
      <c r="CV1155" s="585" t="s">
        <v>3081</v>
      </c>
    </row>
    <row r="1156" spans="91:100" ht="25.5" x14ac:dyDescent="0.25">
      <c r="CM1156" s="582"/>
      <c r="CN1156" s="584" t="s">
        <v>4529</v>
      </c>
      <c r="CO1156" s="584" t="s">
        <v>1910</v>
      </c>
      <c r="CP1156" s="584" t="s">
        <v>1888</v>
      </c>
      <c r="CQ1156" s="584" t="s">
        <v>4530</v>
      </c>
      <c r="CR1156" s="584" t="s">
        <v>4530</v>
      </c>
      <c r="CS1156" s="584" t="s">
        <v>2583</v>
      </c>
      <c r="CT1156" s="584" t="s">
        <v>2584</v>
      </c>
      <c r="CU1156" s="584" t="s">
        <v>3080</v>
      </c>
      <c r="CV1156" s="585" t="s">
        <v>3081</v>
      </c>
    </row>
    <row r="1157" spans="91:100" ht="25.5" x14ac:dyDescent="0.25">
      <c r="CM1157" s="582"/>
      <c r="CN1157" s="584" t="s">
        <v>4531</v>
      </c>
      <c r="CO1157" s="584" t="s">
        <v>1910</v>
      </c>
      <c r="CP1157" s="584" t="s">
        <v>1888</v>
      </c>
      <c r="CQ1157" s="584" t="s">
        <v>4532</v>
      </c>
      <c r="CR1157" s="584" t="s">
        <v>4532</v>
      </c>
      <c r="CS1157" s="584" t="s">
        <v>2583</v>
      </c>
      <c r="CT1157" s="584" t="s">
        <v>2584</v>
      </c>
      <c r="CU1157" s="584" t="s">
        <v>3080</v>
      </c>
      <c r="CV1157" s="585" t="s">
        <v>3081</v>
      </c>
    </row>
    <row r="1158" spans="91:100" ht="25.5" x14ac:dyDescent="0.25">
      <c r="CM1158" s="582"/>
      <c r="CN1158" s="584" t="s">
        <v>4533</v>
      </c>
      <c r="CO1158" s="584" t="s">
        <v>1910</v>
      </c>
      <c r="CP1158" s="584" t="s">
        <v>1888</v>
      </c>
      <c r="CQ1158" s="584" t="s">
        <v>4534</v>
      </c>
      <c r="CR1158" s="584" t="s">
        <v>4534</v>
      </c>
      <c r="CS1158" s="584" t="s">
        <v>2583</v>
      </c>
      <c r="CT1158" s="584" t="s">
        <v>2584</v>
      </c>
      <c r="CU1158" s="584" t="s">
        <v>3080</v>
      </c>
      <c r="CV1158" s="585" t="s">
        <v>3081</v>
      </c>
    </row>
    <row r="1159" spans="91:100" ht="25.5" x14ac:dyDescent="0.25">
      <c r="CM1159" s="582"/>
      <c r="CN1159" s="584" t="s">
        <v>4535</v>
      </c>
      <c r="CO1159" s="584" t="s">
        <v>1910</v>
      </c>
      <c r="CP1159" s="584" t="s">
        <v>1888</v>
      </c>
      <c r="CQ1159" s="584" t="s">
        <v>4536</v>
      </c>
      <c r="CR1159" s="584" t="s">
        <v>4536</v>
      </c>
      <c r="CS1159" s="584" t="s">
        <v>2583</v>
      </c>
      <c r="CT1159" s="584" t="s">
        <v>2584</v>
      </c>
      <c r="CU1159" s="584" t="s">
        <v>3080</v>
      </c>
      <c r="CV1159" s="585" t="s">
        <v>3081</v>
      </c>
    </row>
    <row r="1160" spans="91:100" ht="25.5" x14ac:dyDescent="0.25">
      <c r="CM1160" s="582"/>
      <c r="CN1160" s="584" t="s">
        <v>4537</v>
      </c>
      <c r="CO1160" s="584" t="s">
        <v>1910</v>
      </c>
      <c r="CP1160" s="584" t="s">
        <v>1888</v>
      </c>
      <c r="CQ1160" s="584" t="s">
        <v>4538</v>
      </c>
      <c r="CR1160" s="584" t="s">
        <v>4538</v>
      </c>
      <c r="CS1160" s="584" t="s">
        <v>2583</v>
      </c>
      <c r="CT1160" s="584" t="s">
        <v>2584</v>
      </c>
      <c r="CU1160" s="584" t="s">
        <v>3080</v>
      </c>
      <c r="CV1160" s="585" t="s">
        <v>3081</v>
      </c>
    </row>
    <row r="1161" spans="91:100" ht="25.5" x14ac:dyDescent="0.25">
      <c r="CM1161" s="582"/>
      <c r="CN1161" s="584" t="s">
        <v>4539</v>
      </c>
      <c r="CO1161" s="584" t="s">
        <v>1910</v>
      </c>
      <c r="CP1161" s="584" t="s">
        <v>1888</v>
      </c>
      <c r="CQ1161" s="584" t="s">
        <v>4540</v>
      </c>
      <c r="CR1161" s="584" t="s">
        <v>4540</v>
      </c>
      <c r="CS1161" s="584" t="s">
        <v>2583</v>
      </c>
      <c r="CT1161" s="584" t="s">
        <v>2584</v>
      </c>
      <c r="CU1161" s="584" t="s">
        <v>3080</v>
      </c>
      <c r="CV1161" s="585" t="s">
        <v>3081</v>
      </c>
    </row>
    <row r="1162" spans="91:100" ht="25.5" x14ac:dyDescent="0.25">
      <c r="CM1162" s="582"/>
      <c r="CN1162" s="584" t="s">
        <v>4541</v>
      </c>
      <c r="CO1162" s="584" t="s">
        <v>1910</v>
      </c>
      <c r="CP1162" s="584" t="s">
        <v>1888</v>
      </c>
      <c r="CQ1162" s="584" t="s">
        <v>4542</v>
      </c>
      <c r="CR1162" s="584" t="s">
        <v>4542</v>
      </c>
      <c r="CS1162" s="584" t="s">
        <v>2583</v>
      </c>
      <c r="CT1162" s="584" t="s">
        <v>2584</v>
      </c>
      <c r="CU1162" s="584" t="s">
        <v>3080</v>
      </c>
      <c r="CV1162" s="585" t="s">
        <v>3081</v>
      </c>
    </row>
    <row r="1163" spans="91:100" ht="25.5" x14ac:dyDescent="0.25">
      <c r="CM1163" s="582"/>
      <c r="CN1163" s="584" t="s">
        <v>4543</v>
      </c>
      <c r="CO1163" s="584" t="s">
        <v>1910</v>
      </c>
      <c r="CP1163" s="584" t="s">
        <v>1888</v>
      </c>
      <c r="CQ1163" s="584" t="s">
        <v>4544</v>
      </c>
      <c r="CR1163" s="584" t="s">
        <v>4544</v>
      </c>
      <c r="CS1163" s="584" t="s">
        <v>2583</v>
      </c>
      <c r="CT1163" s="584" t="s">
        <v>2584</v>
      </c>
      <c r="CU1163" s="584" t="s">
        <v>3080</v>
      </c>
      <c r="CV1163" s="585" t="s">
        <v>3081</v>
      </c>
    </row>
    <row r="1164" spans="91:100" ht="25.5" x14ac:dyDescent="0.25">
      <c r="CM1164" s="582"/>
      <c r="CN1164" s="584" t="s">
        <v>4545</v>
      </c>
      <c r="CO1164" s="584" t="s">
        <v>1910</v>
      </c>
      <c r="CP1164" s="584" t="s">
        <v>1888</v>
      </c>
      <c r="CQ1164" s="584" t="s">
        <v>4546</v>
      </c>
      <c r="CR1164" s="584" t="s">
        <v>4546</v>
      </c>
      <c r="CS1164" s="584" t="s">
        <v>2583</v>
      </c>
      <c r="CT1164" s="584" t="s">
        <v>2584</v>
      </c>
      <c r="CU1164" s="584" t="s">
        <v>3080</v>
      </c>
      <c r="CV1164" s="585" t="s">
        <v>3081</v>
      </c>
    </row>
    <row r="1165" spans="91:100" ht="25.5" x14ac:dyDescent="0.25">
      <c r="CM1165" s="582"/>
      <c r="CN1165" s="584" t="s">
        <v>4547</v>
      </c>
      <c r="CO1165" s="584" t="s">
        <v>1910</v>
      </c>
      <c r="CP1165" s="584" t="s">
        <v>1888</v>
      </c>
      <c r="CQ1165" s="584" t="s">
        <v>4548</v>
      </c>
      <c r="CR1165" s="584" t="s">
        <v>4548</v>
      </c>
      <c r="CS1165" s="584" t="s">
        <v>2583</v>
      </c>
      <c r="CT1165" s="584" t="s">
        <v>2584</v>
      </c>
      <c r="CU1165" s="584" t="s">
        <v>3080</v>
      </c>
      <c r="CV1165" s="585" t="s">
        <v>3081</v>
      </c>
    </row>
    <row r="1166" spans="91:100" ht="25.5" x14ac:dyDescent="0.25">
      <c r="CM1166" s="582"/>
      <c r="CN1166" s="584" t="s">
        <v>4549</v>
      </c>
      <c r="CO1166" s="584" t="s">
        <v>1910</v>
      </c>
      <c r="CP1166" s="584" t="s">
        <v>1888</v>
      </c>
      <c r="CQ1166" s="584" t="s">
        <v>4550</v>
      </c>
      <c r="CR1166" s="584" t="s">
        <v>4550</v>
      </c>
      <c r="CS1166" s="584" t="s">
        <v>2583</v>
      </c>
      <c r="CT1166" s="584" t="s">
        <v>2584</v>
      </c>
      <c r="CU1166" s="584" t="s">
        <v>3080</v>
      </c>
      <c r="CV1166" s="585" t="s">
        <v>3081</v>
      </c>
    </row>
    <row r="1167" spans="91:100" ht="25.5" x14ac:dyDescent="0.25">
      <c r="CM1167" s="582"/>
      <c r="CN1167" s="584" t="s">
        <v>4551</v>
      </c>
      <c r="CO1167" s="584" t="s">
        <v>1910</v>
      </c>
      <c r="CP1167" s="584" t="s">
        <v>1888</v>
      </c>
      <c r="CQ1167" s="584" t="s">
        <v>4552</v>
      </c>
      <c r="CR1167" s="584" t="s">
        <v>4552</v>
      </c>
      <c r="CS1167" s="584" t="s">
        <v>2583</v>
      </c>
      <c r="CT1167" s="584" t="s">
        <v>2584</v>
      </c>
      <c r="CU1167" s="584" t="s">
        <v>3080</v>
      </c>
      <c r="CV1167" s="585" t="s">
        <v>3081</v>
      </c>
    </row>
    <row r="1168" spans="91:100" ht="25.5" x14ac:dyDescent="0.25">
      <c r="CM1168" s="582"/>
      <c r="CN1168" s="584" t="s">
        <v>4553</v>
      </c>
      <c r="CO1168" s="584" t="s">
        <v>1910</v>
      </c>
      <c r="CP1168" s="584" t="s">
        <v>1888</v>
      </c>
      <c r="CQ1168" s="584" t="s">
        <v>4554</v>
      </c>
      <c r="CR1168" s="584" t="s">
        <v>4554</v>
      </c>
      <c r="CS1168" s="584" t="s">
        <v>2583</v>
      </c>
      <c r="CT1168" s="584" t="s">
        <v>2584</v>
      </c>
      <c r="CU1168" s="584" t="s">
        <v>3080</v>
      </c>
      <c r="CV1168" s="585" t="s">
        <v>3081</v>
      </c>
    </row>
    <row r="1169" spans="91:100" ht="25.5" x14ac:dyDescent="0.25">
      <c r="CM1169" s="582"/>
      <c r="CN1169" s="584" t="s">
        <v>4555</v>
      </c>
      <c r="CO1169" s="584" t="s">
        <v>1910</v>
      </c>
      <c r="CP1169" s="584" t="s">
        <v>1888</v>
      </c>
      <c r="CQ1169" s="584" t="s">
        <v>4556</v>
      </c>
      <c r="CR1169" s="584" t="s">
        <v>4556</v>
      </c>
      <c r="CS1169" s="584" t="s">
        <v>2583</v>
      </c>
      <c r="CT1169" s="584" t="s">
        <v>2584</v>
      </c>
      <c r="CU1169" s="584" t="s">
        <v>3080</v>
      </c>
      <c r="CV1169" s="585" t="s">
        <v>3081</v>
      </c>
    </row>
    <row r="1170" spans="91:100" ht="25.5" x14ac:dyDescent="0.25">
      <c r="CM1170" s="582"/>
      <c r="CN1170" s="584" t="s">
        <v>4557</v>
      </c>
      <c r="CO1170" s="584" t="s">
        <v>1910</v>
      </c>
      <c r="CP1170" s="584" t="s">
        <v>1888</v>
      </c>
      <c r="CQ1170" s="584" t="s">
        <v>4558</v>
      </c>
      <c r="CR1170" s="584" t="s">
        <v>4558</v>
      </c>
      <c r="CS1170" s="584" t="s">
        <v>2583</v>
      </c>
      <c r="CT1170" s="584" t="s">
        <v>2584</v>
      </c>
      <c r="CU1170" s="584" t="s">
        <v>3080</v>
      </c>
      <c r="CV1170" s="585" t="s">
        <v>3081</v>
      </c>
    </row>
    <row r="1171" spans="91:100" ht="25.5" x14ac:dyDescent="0.25">
      <c r="CM1171" s="582"/>
      <c r="CN1171" s="584" t="s">
        <v>4559</v>
      </c>
      <c r="CO1171" s="584" t="s">
        <v>1910</v>
      </c>
      <c r="CP1171" s="584" t="s">
        <v>1888</v>
      </c>
      <c r="CQ1171" s="584" t="s">
        <v>4560</v>
      </c>
      <c r="CR1171" s="584" t="s">
        <v>4560</v>
      </c>
      <c r="CS1171" s="584" t="s">
        <v>2583</v>
      </c>
      <c r="CT1171" s="584" t="s">
        <v>2584</v>
      </c>
      <c r="CU1171" s="584" t="s">
        <v>3080</v>
      </c>
      <c r="CV1171" s="585" t="s">
        <v>3081</v>
      </c>
    </row>
    <row r="1172" spans="91:100" ht="25.5" x14ac:dyDescent="0.25">
      <c r="CM1172" s="582"/>
      <c r="CN1172" s="584" t="s">
        <v>4561</v>
      </c>
      <c r="CO1172" s="584" t="s">
        <v>1910</v>
      </c>
      <c r="CP1172" s="584" t="s">
        <v>1888</v>
      </c>
      <c r="CQ1172" s="584" t="s">
        <v>4562</v>
      </c>
      <c r="CR1172" s="584" t="s">
        <v>4562</v>
      </c>
      <c r="CS1172" s="584" t="s">
        <v>2583</v>
      </c>
      <c r="CT1172" s="584" t="s">
        <v>2584</v>
      </c>
      <c r="CU1172" s="584" t="s">
        <v>3080</v>
      </c>
      <c r="CV1172" s="585" t="s">
        <v>3081</v>
      </c>
    </row>
    <row r="1173" spans="91:100" ht="25.5" x14ac:dyDescent="0.25">
      <c r="CM1173" s="582"/>
      <c r="CN1173" s="584" t="s">
        <v>4563</v>
      </c>
      <c r="CO1173" s="584" t="s">
        <v>1910</v>
      </c>
      <c r="CP1173" s="584" t="s">
        <v>1888</v>
      </c>
      <c r="CQ1173" s="584" t="s">
        <v>4564</v>
      </c>
      <c r="CR1173" s="584" t="s">
        <v>4564</v>
      </c>
      <c r="CS1173" s="584" t="s">
        <v>2583</v>
      </c>
      <c r="CT1173" s="584" t="s">
        <v>2584</v>
      </c>
      <c r="CU1173" s="584" t="s">
        <v>3080</v>
      </c>
      <c r="CV1173" s="585" t="s">
        <v>3081</v>
      </c>
    </row>
    <row r="1174" spans="91:100" x14ac:dyDescent="0.25">
      <c r="CM1174" s="582"/>
      <c r="CN1174" s="584" t="s">
        <v>4565</v>
      </c>
      <c r="CO1174" s="584" t="s">
        <v>1910</v>
      </c>
      <c r="CP1174" s="584" t="s">
        <v>1888</v>
      </c>
      <c r="CQ1174" s="584" t="s">
        <v>4566</v>
      </c>
      <c r="CR1174" s="584" t="s">
        <v>4566</v>
      </c>
      <c r="CS1174" s="584" t="s">
        <v>1978</v>
      </c>
      <c r="CT1174" s="584" t="s">
        <v>1979</v>
      </c>
      <c r="CU1174" s="584" t="s">
        <v>1892</v>
      </c>
      <c r="CV1174" s="585" t="s">
        <v>1980</v>
      </c>
    </row>
    <row r="1175" spans="91:100" ht="25.5" x14ac:dyDescent="0.25">
      <c r="CM1175" s="582"/>
      <c r="CN1175" s="584" t="s">
        <v>4567</v>
      </c>
      <c r="CO1175" s="584" t="s">
        <v>1910</v>
      </c>
      <c r="CP1175" s="584" t="s">
        <v>1888</v>
      </c>
      <c r="CQ1175" s="584" t="s">
        <v>4568</v>
      </c>
      <c r="CR1175" s="584" t="s">
        <v>4568</v>
      </c>
      <c r="CS1175" s="584" t="s">
        <v>2583</v>
      </c>
      <c r="CT1175" s="584" t="s">
        <v>2584</v>
      </c>
      <c r="CU1175" s="584" t="s">
        <v>3080</v>
      </c>
      <c r="CV1175" s="585" t="s">
        <v>3081</v>
      </c>
    </row>
    <row r="1176" spans="91:100" ht="25.5" x14ac:dyDescent="0.25">
      <c r="CM1176" s="582"/>
      <c r="CN1176" s="584" t="s">
        <v>4569</v>
      </c>
      <c r="CO1176" s="584" t="s">
        <v>1910</v>
      </c>
      <c r="CP1176" s="584" t="s">
        <v>1888</v>
      </c>
      <c r="CQ1176" s="584" t="s">
        <v>4570</v>
      </c>
      <c r="CR1176" s="584" t="s">
        <v>4570</v>
      </c>
      <c r="CS1176" s="584" t="s">
        <v>2583</v>
      </c>
      <c r="CT1176" s="584" t="s">
        <v>2584</v>
      </c>
      <c r="CU1176" s="584" t="s">
        <v>3080</v>
      </c>
      <c r="CV1176" s="585" t="s">
        <v>3081</v>
      </c>
    </row>
    <row r="1177" spans="91:100" ht="25.5" x14ac:dyDescent="0.25">
      <c r="CM1177" s="582"/>
      <c r="CN1177" s="584" t="s">
        <v>4571</v>
      </c>
      <c r="CO1177" s="584" t="s">
        <v>1910</v>
      </c>
      <c r="CP1177" s="584" t="s">
        <v>1888</v>
      </c>
      <c r="CQ1177" s="584" t="s">
        <v>4572</v>
      </c>
      <c r="CR1177" s="584" t="s">
        <v>4572</v>
      </c>
      <c r="CS1177" s="584" t="s">
        <v>2583</v>
      </c>
      <c r="CT1177" s="584" t="s">
        <v>2584</v>
      </c>
      <c r="CU1177" s="584" t="s">
        <v>3080</v>
      </c>
      <c r="CV1177" s="585" t="s">
        <v>3081</v>
      </c>
    </row>
    <row r="1178" spans="91:100" ht="25.5" x14ac:dyDescent="0.25">
      <c r="CM1178" s="582"/>
      <c r="CN1178" s="584" t="s">
        <v>4573</v>
      </c>
      <c r="CO1178" s="584" t="s">
        <v>1910</v>
      </c>
      <c r="CP1178" s="584" t="s">
        <v>1888</v>
      </c>
      <c r="CQ1178" s="584" t="s">
        <v>4574</v>
      </c>
      <c r="CR1178" s="584" t="s">
        <v>4574</v>
      </c>
      <c r="CS1178" s="584" t="s">
        <v>2583</v>
      </c>
      <c r="CT1178" s="584" t="s">
        <v>2584</v>
      </c>
      <c r="CU1178" s="584" t="s">
        <v>3080</v>
      </c>
      <c r="CV1178" s="585" t="s">
        <v>3081</v>
      </c>
    </row>
    <row r="1179" spans="91:100" ht="25.5" x14ac:dyDescent="0.25">
      <c r="CM1179" s="582"/>
      <c r="CN1179" s="584" t="s">
        <v>4575</v>
      </c>
      <c r="CO1179" s="584" t="s">
        <v>1910</v>
      </c>
      <c r="CP1179" s="584" t="s">
        <v>1888</v>
      </c>
      <c r="CQ1179" s="584" t="s">
        <v>4576</v>
      </c>
      <c r="CR1179" s="584" t="s">
        <v>4576</v>
      </c>
      <c r="CS1179" s="584" t="s">
        <v>2583</v>
      </c>
      <c r="CT1179" s="584" t="s">
        <v>2584</v>
      </c>
      <c r="CU1179" s="584" t="s">
        <v>3080</v>
      </c>
      <c r="CV1179" s="585" t="s">
        <v>3081</v>
      </c>
    </row>
    <row r="1180" spans="91:100" ht="25.5" x14ac:dyDescent="0.25">
      <c r="CM1180" s="582"/>
      <c r="CN1180" s="584" t="s">
        <v>4577</v>
      </c>
      <c r="CO1180" s="584" t="s">
        <v>1910</v>
      </c>
      <c r="CP1180" s="584" t="s">
        <v>1888</v>
      </c>
      <c r="CQ1180" s="584" t="s">
        <v>4578</v>
      </c>
      <c r="CR1180" s="584" t="s">
        <v>4578</v>
      </c>
      <c r="CS1180" s="584" t="s">
        <v>2583</v>
      </c>
      <c r="CT1180" s="584" t="s">
        <v>2584</v>
      </c>
      <c r="CU1180" s="584" t="s">
        <v>3080</v>
      </c>
      <c r="CV1180" s="585" t="s">
        <v>3081</v>
      </c>
    </row>
    <row r="1181" spans="91:100" ht="25.5" x14ac:dyDescent="0.25">
      <c r="CM1181" s="582"/>
      <c r="CN1181" s="584" t="s">
        <v>4579</v>
      </c>
      <c r="CO1181" s="584" t="s">
        <v>1910</v>
      </c>
      <c r="CP1181" s="584" t="s">
        <v>1888</v>
      </c>
      <c r="CQ1181" s="584" t="s">
        <v>4580</v>
      </c>
      <c r="CR1181" s="584" t="s">
        <v>4580</v>
      </c>
      <c r="CS1181" s="584" t="s">
        <v>2583</v>
      </c>
      <c r="CT1181" s="584" t="s">
        <v>2584</v>
      </c>
      <c r="CU1181" s="584" t="s">
        <v>3080</v>
      </c>
      <c r="CV1181" s="585" t="s">
        <v>3081</v>
      </c>
    </row>
    <row r="1182" spans="91:100" ht="25.5" x14ac:dyDescent="0.25">
      <c r="CM1182" s="582"/>
      <c r="CN1182" s="584" t="s">
        <v>4581</v>
      </c>
      <c r="CO1182" s="584" t="s">
        <v>1910</v>
      </c>
      <c r="CP1182" s="584" t="s">
        <v>1888</v>
      </c>
      <c r="CQ1182" s="584" t="s">
        <v>4582</v>
      </c>
      <c r="CR1182" s="584" t="s">
        <v>4582</v>
      </c>
      <c r="CS1182" s="584" t="s">
        <v>2583</v>
      </c>
      <c r="CT1182" s="584" t="s">
        <v>2584</v>
      </c>
      <c r="CU1182" s="584" t="s">
        <v>3080</v>
      </c>
      <c r="CV1182" s="585" t="s">
        <v>3081</v>
      </c>
    </row>
    <row r="1183" spans="91:100" ht="25.5" x14ac:dyDescent="0.25">
      <c r="CM1183" s="582"/>
      <c r="CN1183" s="584" t="s">
        <v>4583</v>
      </c>
      <c r="CO1183" s="584" t="s">
        <v>1910</v>
      </c>
      <c r="CP1183" s="584" t="s">
        <v>1888</v>
      </c>
      <c r="CQ1183" s="584" t="s">
        <v>4584</v>
      </c>
      <c r="CR1183" s="584" t="s">
        <v>4584</v>
      </c>
      <c r="CS1183" s="584" t="s">
        <v>2583</v>
      </c>
      <c r="CT1183" s="584" t="s">
        <v>2584</v>
      </c>
      <c r="CU1183" s="584" t="s">
        <v>3080</v>
      </c>
      <c r="CV1183" s="585" t="s">
        <v>3081</v>
      </c>
    </row>
    <row r="1184" spans="91:100" ht="25.5" x14ac:dyDescent="0.25">
      <c r="CM1184" s="582"/>
      <c r="CN1184" s="584" t="s">
        <v>4585</v>
      </c>
      <c r="CO1184" s="584" t="s">
        <v>1910</v>
      </c>
      <c r="CP1184" s="584" t="s">
        <v>1888</v>
      </c>
      <c r="CQ1184" s="584" t="s">
        <v>4586</v>
      </c>
      <c r="CR1184" s="584" t="s">
        <v>4586</v>
      </c>
      <c r="CS1184" s="584" t="s">
        <v>2583</v>
      </c>
      <c r="CT1184" s="584" t="s">
        <v>2584</v>
      </c>
      <c r="CU1184" s="584" t="s">
        <v>3080</v>
      </c>
      <c r="CV1184" s="585" t="s">
        <v>3081</v>
      </c>
    </row>
    <row r="1185" spans="91:100" x14ac:dyDescent="0.25">
      <c r="CM1185" s="582"/>
      <c r="CN1185" s="584" t="s">
        <v>4587</v>
      </c>
      <c r="CO1185" s="584" t="s">
        <v>1910</v>
      </c>
      <c r="CP1185" s="584" t="s">
        <v>1888</v>
      </c>
      <c r="CQ1185" s="584" t="s">
        <v>4588</v>
      </c>
      <c r="CR1185" s="584" t="s">
        <v>4588</v>
      </c>
      <c r="CS1185" s="584" t="s">
        <v>1978</v>
      </c>
      <c r="CT1185" s="584" t="s">
        <v>1979</v>
      </c>
      <c r="CU1185" s="584" t="s">
        <v>1892</v>
      </c>
      <c r="CV1185" s="585" t="s">
        <v>1980</v>
      </c>
    </row>
    <row r="1186" spans="91:100" ht="25.5" x14ac:dyDescent="0.25">
      <c r="CM1186" s="582"/>
      <c r="CN1186" s="584" t="s">
        <v>4589</v>
      </c>
      <c r="CO1186" s="584" t="s">
        <v>1910</v>
      </c>
      <c r="CP1186" s="584" t="s">
        <v>1888</v>
      </c>
      <c r="CQ1186" s="584" t="s">
        <v>4590</v>
      </c>
      <c r="CR1186" s="584" t="s">
        <v>4590</v>
      </c>
      <c r="CS1186" s="584" t="s">
        <v>2583</v>
      </c>
      <c r="CT1186" s="584" t="s">
        <v>2584</v>
      </c>
      <c r="CU1186" s="584" t="s">
        <v>3080</v>
      </c>
      <c r="CV1186" s="585" t="s">
        <v>3081</v>
      </c>
    </row>
    <row r="1187" spans="91:100" ht="25.5" x14ac:dyDescent="0.25">
      <c r="CM1187" s="582"/>
      <c r="CN1187" s="584" t="s">
        <v>4591</v>
      </c>
      <c r="CO1187" s="584" t="s">
        <v>1910</v>
      </c>
      <c r="CP1187" s="584" t="s">
        <v>1888</v>
      </c>
      <c r="CQ1187" s="584" t="s">
        <v>4592</v>
      </c>
      <c r="CR1187" s="584" t="s">
        <v>4592</v>
      </c>
      <c r="CS1187" s="584" t="s">
        <v>2583</v>
      </c>
      <c r="CT1187" s="584" t="s">
        <v>2584</v>
      </c>
      <c r="CU1187" s="584" t="s">
        <v>3080</v>
      </c>
      <c r="CV1187" s="585" t="s">
        <v>3081</v>
      </c>
    </row>
    <row r="1188" spans="91:100" ht="25.5" x14ac:dyDescent="0.25">
      <c r="CM1188" s="582"/>
      <c r="CN1188" s="584" t="s">
        <v>4593</v>
      </c>
      <c r="CO1188" s="584" t="s">
        <v>1910</v>
      </c>
      <c r="CP1188" s="584" t="s">
        <v>1888</v>
      </c>
      <c r="CQ1188" s="584" t="s">
        <v>4594</v>
      </c>
      <c r="CR1188" s="584" t="s">
        <v>4594</v>
      </c>
      <c r="CS1188" s="584" t="s">
        <v>2583</v>
      </c>
      <c r="CT1188" s="584" t="s">
        <v>2584</v>
      </c>
      <c r="CU1188" s="584" t="s">
        <v>3080</v>
      </c>
      <c r="CV1188" s="585" t="s">
        <v>3081</v>
      </c>
    </row>
    <row r="1189" spans="91:100" ht="25.5" x14ac:dyDescent="0.25">
      <c r="CM1189" s="582"/>
      <c r="CN1189" s="584" t="s">
        <v>4595</v>
      </c>
      <c r="CO1189" s="584" t="s">
        <v>1910</v>
      </c>
      <c r="CP1189" s="584" t="s">
        <v>1888</v>
      </c>
      <c r="CQ1189" s="584" t="s">
        <v>4596</v>
      </c>
      <c r="CR1189" s="584" t="s">
        <v>4596</v>
      </c>
      <c r="CS1189" s="584" t="s">
        <v>2583</v>
      </c>
      <c r="CT1189" s="584" t="s">
        <v>2584</v>
      </c>
      <c r="CU1189" s="584" t="s">
        <v>3080</v>
      </c>
      <c r="CV1189" s="585" t="s">
        <v>3081</v>
      </c>
    </row>
    <row r="1190" spans="91:100" ht="25.5" x14ac:dyDescent="0.25">
      <c r="CM1190" s="582"/>
      <c r="CN1190" s="584" t="s">
        <v>4597</v>
      </c>
      <c r="CO1190" s="584" t="s">
        <v>1910</v>
      </c>
      <c r="CP1190" s="584" t="s">
        <v>1888</v>
      </c>
      <c r="CQ1190" s="584" t="s">
        <v>4598</v>
      </c>
      <c r="CR1190" s="584" t="s">
        <v>4598</v>
      </c>
      <c r="CS1190" s="584" t="s">
        <v>2583</v>
      </c>
      <c r="CT1190" s="584" t="s">
        <v>2584</v>
      </c>
      <c r="CU1190" s="584" t="s">
        <v>3080</v>
      </c>
      <c r="CV1190" s="585" t="s">
        <v>3081</v>
      </c>
    </row>
    <row r="1191" spans="91:100" ht="25.5" x14ac:dyDescent="0.25">
      <c r="CM1191" s="582"/>
      <c r="CN1191" s="584" t="s">
        <v>4599</v>
      </c>
      <c r="CO1191" s="584" t="s">
        <v>1910</v>
      </c>
      <c r="CP1191" s="584" t="s">
        <v>1888</v>
      </c>
      <c r="CQ1191" s="584" t="s">
        <v>4600</v>
      </c>
      <c r="CR1191" s="584" t="s">
        <v>4600</v>
      </c>
      <c r="CS1191" s="584" t="s">
        <v>2583</v>
      </c>
      <c r="CT1191" s="584" t="s">
        <v>2584</v>
      </c>
      <c r="CU1191" s="584" t="s">
        <v>3080</v>
      </c>
      <c r="CV1191" s="585" t="s">
        <v>3081</v>
      </c>
    </row>
    <row r="1192" spans="91:100" x14ac:dyDescent="0.25">
      <c r="CM1192" s="582"/>
      <c r="CN1192" s="584" t="s">
        <v>4601</v>
      </c>
      <c r="CO1192" s="584" t="s">
        <v>1910</v>
      </c>
      <c r="CP1192" s="584" t="s">
        <v>1888</v>
      </c>
      <c r="CQ1192" s="584" t="s">
        <v>4602</v>
      </c>
      <c r="CR1192" s="584" t="s">
        <v>4602</v>
      </c>
      <c r="CS1192" s="584" t="s">
        <v>1890</v>
      </c>
      <c r="CT1192" s="584" t="s">
        <v>3163</v>
      </c>
      <c r="CU1192" s="584" t="s">
        <v>1892</v>
      </c>
      <c r="CV1192" s="585" t="s">
        <v>1893</v>
      </c>
    </row>
    <row r="1193" spans="91:100" x14ac:dyDescent="0.25">
      <c r="CM1193" s="582"/>
      <c r="CN1193" s="584" t="s">
        <v>4603</v>
      </c>
      <c r="CO1193" s="584" t="s">
        <v>1910</v>
      </c>
      <c r="CP1193" s="584" t="s">
        <v>1888</v>
      </c>
      <c r="CQ1193" s="584" t="s">
        <v>4604</v>
      </c>
      <c r="CR1193" s="584" t="s">
        <v>4604</v>
      </c>
      <c r="CS1193" s="584" t="s">
        <v>1890</v>
      </c>
      <c r="CT1193" s="584" t="s">
        <v>3163</v>
      </c>
      <c r="CU1193" s="584" t="s">
        <v>1892</v>
      </c>
      <c r="CV1193" s="585" t="s">
        <v>1893</v>
      </c>
    </row>
    <row r="1194" spans="91:100" ht="25.5" x14ac:dyDescent="0.25">
      <c r="CM1194" s="582"/>
      <c r="CN1194" s="584" t="s">
        <v>4605</v>
      </c>
      <c r="CO1194" s="584" t="s">
        <v>1910</v>
      </c>
      <c r="CP1194" s="584" t="s">
        <v>1888</v>
      </c>
      <c r="CQ1194" s="584" t="s">
        <v>4606</v>
      </c>
      <c r="CR1194" s="584" t="s">
        <v>4606</v>
      </c>
      <c r="CS1194" s="584" t="s">
        <v>2583</v>
      </c>
      <c r="CT1194" s="584" t="s">
        <v>2584</v>
      </c>
      <c r="CU1194" s="584" t="s">
        <v>3080</v>
      </c>
      <c r="CV1194" s="585" t="s">
        <v>3081</v>
      </c>
    </row>
    <row r="1195" spans="91:100" ht="25.5" x14ac:dyDescent="0.25">
      <c r="CM1195" s="582"/>
      <c r="CN1195" s="584" t="s">
        <v>4607</v>
      </c>
      <c r="CO1195" s="584" t="s">
        <v>1910</v>
      </c>
      <c r="CP1195" s="584" t="s">
        <v>1888</v>
      </c>
      <c r="CQ1195" s="584" t="s">
        <v>4608</v>
      </c>
      <c r="CR1195" s="584" t="s">
        <v>4608</v>
      </c>
      <c r="CS1195" s="584" t="s">
        <v>2583</v>
      </c>
      <c r="CT1195" s="584" t="s">
        <v>2584</v>
      </c>
      <c r="CU1195" s="584" t="s">
        <v>3080</v>
      </c>
      <c r="CV1195" s="585" t="s">
        <v>3081</v>
      </c>
    </row>
    <row r="1196" spans="91:100" ht="25.5" x14ac:dyDescent="0.25">
      <c r="CM1196" s="582"/>
      <c r="CN1196" s="584" t="s">
        <v>4609</v>
      </c>
      <c r="CO1196" s="584" t="s">
        <v>1910</v>
      </c>
      <c r="CP1196" s="584" t="s">
        <v>1888</v>
      </c>
      <c r="CQ1196" s="584" t="s">
        <v>4610</v>
      </c>
      <c r="CR1196" s="584" t="s">
        <v>4610</v>
      </c>
      <c r="CS1196" s="584" t="s">
        <v>2583</v>
      </c>
      <c r="CT1196" s="584" t="s">
        <v>2584</v>
      </c>
      <c r="CU1196" s="584" t="s">
        <v>3080</v>
      </c>
      <c r="CV1196" s="585" t="s">
        <v>3081</v>
      </c>
    </row>
    <row r="1197" spans="91:100" ht="25.5" x14ac:dyDescent="0.25">
      <c r="CM1197" s="582"/>
      <c r="CN1197" s="584" t="s">
        <v>4611</v>
      </c>
      <c r="CO1197" s="584" t="s">
        <v>1910</v>
      </c>
      <c r="CP1197" s="584" t="s">
        <v>1888</v>
      </c>
      <c r="CQ1197" s="584" t="s">
        <v>4612</v>
      </c>
      <c r="CR1197" s="584" t="s">
        <v>4612</v>
      </c>
      <c r="CS1197" s="584" t="s">
        <v>2583</v>
      </c>
      <c r="CT1197" s="584" t="s">
        <v>2584</v>
      </c>
      <c r="CU1197" s="584" t="s">
        <v>3080</v>
      </c>
      <c r="CV1197" s="585" t="s">
        <v>3081</v>
      </c>
    </row>
    <row r="1198" spans="91:100" ht="25.5" x14ac:dyDescent="0.25">
      <c r="CM1198" s="582"/>
      <c r="CN1198" s="584" t="s">
        <v>4613</v>
      </c>
      <c r="CO1198" s="584" t="s">
        <v>1910</v>
      </c>
      <c r="CP1198" s="584" t="s">
        <v>1888</v>
      </c>
      <c r="CQ1198" s="584" t="s">
        <v>4614</v>
      </c>
      <c r="CR1198" s="584" t="s">
        <v>4614</v>
      </c>
      <c r="CS1198" s="584" t="s">
        <v>2583</v>
      </c>
      <c r="CT1198" s="584" t="s">
        <v>2584</v>
      </c>
      <c r="CU1198" s="584" t="s">
        <v>3080</v>
      </c>
      <c r="CV1198" s="585" t="s">
        <v>3081</v>
      </c>
    </row>
    <row r="1199" spans="91:100" ht="25.5" x14ac:dyDescent="0.25">
      <c r="CM1199" s="582"/>
      <c r="CN1199" s="584" t="s">
        <v>4615</v>
      </c>
      <c r="CO1199" s="584" t="s">
        <v>1910</v>
      </c>
      <c r="CP1199" s="584" t="s">
        <v>1888</v>
      </c>
      <c r="CQ1199" s="584" t="s">
        <v>4616</v>
      </c>
      <c r="CR1199" s="584" t="s">
        <v>4616</v>
      </c>
      <c r="CS1199" s="584" t="s">
        <v>2583</v>
      </c>
      <c r="CT1199" s="584" t="s">
        <v>2584</v>
      </c>
      <c r="CU1199" s="584" t="s">
        <v>3080</v>
      </c>
      <c r="CV1199" s="585" t="s">
        <v>3081</v>
      </c>
    </row>
    <row r="1200" spans="91:100" ht="25.5" x14ac:dyDescent="0.25">
      <c r="CM1200" s="582"/>
      <c r="CN1200" s="584" t="s">
        <v>4617</v>
      </c>
      <c r="CO1200" s="584" t="s">
        <v>1910</v>
      </c>
      <c r="CP1200" s="584" t="s">
        <v>1888</v>
      </c>
      <c r="CQ1200" s="584" t="s">
        <v>4618</v>
      </c>
      <c r="CR1200" s="584" t="s">
        <v>4618</v>
      </c>
      <c r="CS1200" s="584" t="s">
        <v>2583</v>
      </c>
      <c r="CT1200" s="584" t="s">
        <v>2584</v>
      </c>
      <c r="CU1200" s="584" t="s">
        <v>3080</v>
      </c>
      <c r="CV1200" s="585" t="s">
        <v>3081</v>
      </c>
    </row>
    <row r="1201" spans="91:100" ht="25.5" x14ac:dyDescent="0.25">
      <c r="CM1201" s="582"/>
      <c r="CN1201" s="584" t="s">
        <v>4619</v>
      </c>
      <c r="CO1201" s="584" t="s">
        <v>1910</v>
      </c>
      <c r="CP1201" s="584" t="s">
        <v>1888</v>
      </c>
      <c r="CQ1201" s="584" t="s">
        <v>4620</v>
      </c>
      <c r="CR1201" s="584" t="s">
        <v>4620</v>
      </c>
      <c r="CS1201" s="584" t="s">
        <v>2583</v>
      </c>
      <c r="CT1201" s="584" t="s">
        <v>2584</v>
      </c>
      <c r="CU1201" s="584" t="s">
        <v>3080</v>
      </c>
      <c r="CV1201" s="585" t="s">
        <v>3081</v>
      </c>
    </row>
    <row r="1202" spans="91:100" ht="25.5" x14ac:dyDescent="0.25">
      <c r="CM1202" s="582"/>
      <c r="CN1202" s="584" t="s">
        <v>4621</v>
      </c>
      <c r="CO1202" s="584" t="s">
        <v>1910</v>
      </c>
      <c r="CP1202" s="584" t="s">
        <v>1888</v>
      </c>
      <c r="CQ1202" s="584" t="s">
        <v>4622</v>
      </c>
      <c r="CR1202" s="584" t="s">
        <v>4622</v>
      </c>
      <c r="CS1202" s="584" t="s">
        <v>2583</v>
      </c>
      <c r="CT1202" s="584" t="s">
        <v>2584</v>
      </c>
      <c r="CU1202" s="584" t="s">
        <v>3080</v>
      </c>
      <c r="CV1202" s="585" t="s">
        <v>3081</v>
      </c>
    </row>
    <row r="1203" spans="91:100" ht="25.5" x14ac:dyDescent="0.25">
      <c r="CM1203" s="582"/>
      <c r="CN1203" s="584" t="s">
        <v>4623</v>
      </c>
      <c r="CO1203" s="584" t="s">
        <v>1910</v>
      </c>
      <c r="CP1203" s="584" t="s">
        <v>1888</v>
      </c>
      <c r="CQ1203" s="584" t="s">
        <v>4624</v>
      </c>
      <c r="CR1203" s="584" t="s">
        <v>4624</v>
      </c>
      <c r="CS1203" s="584" t="s">
        <v>2583</v>
      </c>
      <c r="CT1203" s="584" t="s">
        <v>2584</v>
      </c>
      <c r="CU1203" s="584" t="s">
        <v>3080</v>
      </c>
      <c r="CV1203" s="585" t="s">
        <v>3081</v>
      </c>
    </row>
    <row r="1204" spans="91:100" ht="25.5" x14ac:dyDescent="0.25">
      <c r="CM1204" s="582"/>
      <c r="CN1204" s="584" t="s">
        <v>4625</v>
      </c>
      <c r="CO1204" s="584" t="s">
        <v>1910</v>
      </c>
      <c r="CP1204" s="584" t="s">
        <v>1888</v>
      </c>
      <c r="CQ1204" s="584" t="s">
        <v>4626</v>
      </c>
      <c r="CR1204" s="584" t="s">
        <v>4626</v>
      </c>
      <c r="CS1204" s="584" t="s">
        <v>2583</v>
      </c>
      <c r="CT1204" s="584" t="s">
        <v>2584</v>
      </c>
      <c r="CU1204" s="584" t="s">
        <v>3080</v>
      </c>
      <c r="CV1204" s="585" t="s">
        <v>3081</v>
      </c>
    </row>
    <row r="1205" spans="91:100" x14ac:dyDescent="0.25">
      <c r="CM1205" s="582"/>
      <c r="CN1205" s="584" t="s">
        <v>4627</v>
      </c>
      <c r="CO1205" s="584" t="s">
        <v>1910</v>
      </c>
      <c r="CP1205" s="584" t="s">
        <v>1888</v>
      </c>
      <c r="CQ1205" s="584" t="s">
        <v>4628</v>
      </c>
      <c r="CR1205" s="584" t="s">
        <v>4628</v>
      </c>
      <c r="CS1205" s="584" t="s">
        <v>1978</v>
      </c>
      <c r="CT1205" s="584" t="s">
        <v>1979</v>
      </c>
      <c r="CU1205" s="584" t="s">
        <v>1892</v>
      </c>
      <c r="CV1205" s="585" t="s">
        <v>1980</v>
      </c>
    </row>
    <row r="1206" spans="91:100" x14ac:dyDescent="0.25">
      <c r="CM1206" s="582"/>
      <c r="CN1206" s="584" t="s">
        <v>4629</v>
      </c>
      <c r="CO1206" s="584" t="s">
        <v>1910</v>
      </c>
      <c r="CP1206" s="584" t="s">
        <v>1888</v>
      </c>
      <c r="CQ1206" s="584" t="s">
        <v>4630</v>
      </c>
      <c r="CR1206" s="584" t="s">
        <v>4630</v>
      </c>
      <c r="CS1206" s="584" t="s">
        <v>1978</v>
      </c>
      <c r="CT1206" s="584" t="s">
        <v>1979</v>
      </c>
      <c r="CU1206" s="584" t="s">
        <v>1892</v>
      </c>
      <c r="CV1206" s="585" t="s">
        <v>1980</v>
      </c>
    </row>
    <row r="1207" spans="91:100" x14ac:dyDescent="0.25">
      <c r="CM1207" s="582"/>
      <c r="CN1207" s="584" t="s">
        <v>4631</v>
      </c>
      <c r="CO1207" s="584" t="s">
        <v>1910</v>
      </c>
      <c r="CP1207" s="584" t="s">
        <v>1888</v>
      </c>
      <c r="CQ1207" s="584" t="s">
        <v>4632</v>
      </c>
      <c r="CR1207" s="584" t="s">
        <v>4632</v>
      </c>
      <c r="CS1207" s="584" t="s">
        <v>1978</v>
      </c>
      <c r="CT1207" s="584" t="s">
        <v>1979</v>
      </c>
      <c r="CU1207" s="584" t="s">
        <v>1892</v>
      </c>
      <c r="CV1207" s="585" t="s">
        <v>1980</v>
      </c>
    </row>
    <row r="1208" spans="91:100" x14ac:dyDescent="0.25">
      <c r="CM1208" s="582"/>
      <c r="CN1208" s="584" t="s">
        <v>4633</v>
      </c>
      <c r="CO1208" s="584" t="s">
        <v>1910</v>
      </c>
      <c r="CP1208" s="584" t="s">
        <v>1888</v>
      </c>
      <c r="CQ1208" s="584" t="s">
        <v>4634</v>
      </c>
      <c r="CR1208" s="584" t="s">
        <v>4634</v>
      </c>
      <c r="CS1208" s="584" t="s">
        <v>1978</v>
      </c>
      <c r="CT1208" s="584" t="s">
        <v>1979</v>
      </c>
      <c r="CU1208" s="584" t="s">
        <v>1892</v>
      </c>
      <c r="CV1208" s="585" t="s">
        <v>1980</v>
      </c>
    </row>
    <row r="1209" spans="91:100" ht="25.5" x14ac:dyDescent="0.25">
      <c r="CM1209" s="582"/>
      <c r="CN1209" s="584" t="s">
        <v>4635</v>
      </c>
      <c r="CO1209" s="584" t="s">
        <v>1910</v>
      </c>
      <c r="CP1209" s="584" t="s">
        <v>1888</v>
      </c>
      <c r="CQ1209" s="584" t="s">
        <v>4636</v>
      </c>
      <c r="CR1209" s="584" t="s">
        <v>4636</v>
      </c>
      <c r="CS1209" s="584" t="s">
        <v>2583</v>
      </c>
      <c r="CT1209" s="584" t="s">
        <v>2584</v>
      </c>
      <c r="CU1209" s="584" t="s">
        <v>3080</v>
      </c>
      <c r="CV1209" s="585" t="s">
        <v>3081</v>
      </c>
    </row>
    <row r="1210" spans="91:100" ht="25.5" x14ac:dyDescent="0.25">
      <c r="CM1210" s="582"/>
      <c r="CN1210" s="584" t="s">
        <v>4637</v>
      </c>
      <c r="CO1210" s="584" t="s">
        <v>1910</v>
      </c>
      <c r="CP1210" s="584" t="s">
        <v>1888</v>
      </c>
      <c r="CQ1210" s="584" t="s">
        <v>4638</v>
      </c>
      <c r="CR1210" s="584" t="s">
        <v>4638</v>
      </c>
      <c r="CS1210" s="584" t="s">
        <v>2583</v>
      </c>
      <c r="CT1210" s="584" t="s">
        <v>2584</v>
      </c>
      <c r="CU1210" s="584" t="s">
        <v>3080</v>
      </c>
      <c r="CV1210" s="585" t="s">
        <v>3081</v>
      </c>
    </row>
    <row r="1211" spans="91:100" ht="25.5" x14ac:dyDescent="0.25">
      <c r="CM1211" s="582"/>
      <c r="CN1211" s="584" t="s">
        <v>4639</v>
      </c>
      <c r="CO1211" s="584" t="s">
        <v>1910</v>
      </c>
      <c r="CP1211" s="584" t="s">
        <v>1888</v>
      </c>
      <c r="CQ1211" s="584" t="s">
        <v>4640</v>
      </c>
      <c r="CR1211" s="584" t="s">
        <v>4640</v>
      </c>
      <c r="CS1211" s="584" t="s">
        <v>2583</v>
      </c>
      <c r="CT1211" s="584" t="s">
        <v>2584</v>
      </c>
      <c r="CU1211" s="584" t="s">
        <v>3080</v>
      </c>
      <c r="CV1211" s="585" t="s">
        <v>3081</v>
      </c>
    </row>
    <row r="1212" spans="91:100" ht="25.5" x14ac:dyDescent="0.25">
      <c r="CM1212" s="582"/>
      <c r="CN1212" s="584" t="s">
        <v>4641</v>
      </c>
      <c r="CO1212" s="584" t="s">
        <v>1910</v>
      </c>
      <c r="CP1212" s="584" t="s">
        <v>1888</v>
      </c>
      <c r="CQ1212" s="584" t="s">
        <v>4642</v>
      </c>
      <c r="CR1212" s="584" t="s">
        <v>4642</v>
      </c>
      <c r="CS1212" s="584" t="s">
        <v>2583</v>
      </c>
      <c r="CT1212" s="584" t="s">
        <v>2584</v>
      </c>
      <c r="CU1212" s="584" t="s">
        <v>3080</v>
      </c>
      <c r="CV1212" s="585" t="s">
        <v>3081</v>
      </c>
    </row>
    <row r="1213" spans="91:100" ht="25.5" x14ac:dyDescent="0.25">
      <c r="CM1213" s="582"/>
      <c r="CN1213" s="584" t="s">
        <v>4643</v>
      </c>
      <c r="CO1213" s="584" t="s">
        <v>1910</v>
      </c>
      <c r="CP1213" s="584" t="s">
        <v>1888</v>
      </c>
      <c r="CQ1213" s="584" t="s">
        <v>4644</v>
      </c>
      <c r="CR1213" s="584" t="s">
        <v>4644</v>
      </c>
      <c r="CS1213" s="584" t="s">
        <v>2583</v>
      </c>
      <c r="CT1213" s="584" t="s">
        <v>2584</v>
      </c>
      <c r="CU1213" s="584" t="s">
        <v>3080</v>
      </c>
      <c r="CV1213" s="585" t="s">
        <v>3081</v>
      </c>
    </row>
    <row r="1214" spans="91:100" ht="25.5" x14ac:dyDescent="0.25">
      <c r="CM1214" s="582"/>
      <c r="CN1214" s="584" t="s">
        <v>4645</v>
      </c>
      <c r="CO1214" s="584" t="s">
        <v>1910</v>
      </c>
      <c r="CP1214" s="584" t="s">
        <v>1888</v>
      </c>
      <c r="CQ1214" s="584" t="s">
        <v>4646</v>
      </c>
      <c r="CR1214" s="584" t="s">
        <v>4646</v>
      </c>
      <c r="CS1214" s="584" t="s">
        <v>2583</v>
      </c>
      <c r="CT1214" s="584" t="s">
        <v>2584</v>
      </c>
      <c r="CU1214" s="584" t="s">
        <v>3080</v>
      </c>
      <c r="CV1214" s="585" t="s">
        <v>3081</v>
      </c>
    </row>
    <row r="1215" spans="91:100" ht="25.5" x14ac:dyDescent="0.25">
      <c r="CM1215" s="582"/>
      <c r="CN1215" s="584" t="s">
        <v>4647</v>
      </c>
      <c r="CO1215" s="584" t="s">
        <v>1910</v>
      </c>
      <c r="CP1215" s="584" t="s">
        <v>1888</v>
      </c>
      <c r="CQ1215" s="584" t="s">
        <v>4648</v>
      </c>
      <c r="CR1215" s="584" t="s">
        <v>4648</v>
      </c>
      <c r="CS1215" s="584" t="s">
        <v>2583</v>
      </c>
      <c r="CT1215" s="584" t="s">
        <v>2584</v>
      </c>
      <c r="CU1215" s="584" t="s">
        <v>3080</v>
      </c>
      <c r="CV1215" s="585" t="s">
        <v>3081</v>
      </c>
    </row>
    <row r="1216" spans="91:100" ht="25.5" x14ac:dyDescent="0.25">
      <c r="CM1216" s="582"/>
      <c r="CN1216" s="584" t="s">
        <v>4649</v>
      </c>
      <c r="CO1216" s="584" t="s">
        <v>1910</v>
      </c>
      <c r="CP1216" s="584" t="s">
        <v>1888</v>
      </c>
      <c r="CQ1216" s="584" t="s">
        <v>4650</v>
      </c>
      <c r="CR1216" s="584" t="s">
        <v>4650</v>
      </c>
      <c r="CS1216" s="584" t="s">
        <v>2583</v>
      </c>
      <c r="CT1216" s="584" t="s">
        <v>2584</v>
      </c>
      <c r="CU1216" s="584" t="s">
        <v>3080</v>
      </c>
      <c r="CV1216" s="585" t="s">
        <v>3081</v>
      </c>
    </row>
    <row r="1217" spans="91:100" ht="25.5" x14ac:dyDescent="0.25">
      <c r="CM1217" s="582"/>
      <c r="CN1217" s="584" t="s">
        <v>4651</v>
      </c>
      <c r="CO1217" s="584" t="s">
        <v>1910</v>
      </c>
      <c r="CP1217" s="584" t="s">
        <v>1888</v>
      </c>
      <c r="CQ1217" s="584" t="s">
        <v>4652</v>
      </c>
      <c r="CR1217" s="584" t="s">
        <v>4652</v>
      </c>
      <c r="CS1217" s="584" t="s">
        <v>2583</v>
      </c>
      <c r="CT1217" s="584" t="s">
        <v>2584</v>
      </c>
      <c r="CU1217" s="584" t="s">
        <v>3080</v>
      </c>
      <c r="CV1217" s="585" t="s">
        <v>3081</v>
      </c>
    </row>
    <row r="1218" spans="91:100" ht="25.5" x14ac:dyDescent="0.25">
      <c r="CM1218" s="582"/>
      <c r="CN1218" s="584" t="s">
        <v>4653</v>
      </c>
      <c r="CO1218" s="584" t="s">
        <v>1910</v>
      </c>
      <c r="CP1218" s="584" t="s">
        <v>1888</v>
      </c>
      <c r="CQ1218" s="584" t="s">
        <v>4654</v>
      </c>
      <c r="CR1218" s="584" t="s">
        <v>4654</v>
      </c>
      <c r="CS1218" s="584" t="s">
        <v>2583</v>
      </c>
      <c r="CT1218" s="584" t="s">
        <v>2584</v>
      </c>
      <c r="CU1218" s="584" t="s">
        <v>3080</v>
      </c>
      <c r="CV1218" s="585" t="s">
        <v>3081</v>
      </c>
    </row>
    <row r="1219" spans="91:100" ht="25.5" x14ac:dyDescent="0.25">
      <c r="CM1219" s="582"/>
      <c r="CN1219" s="584" t="s">
        <v>4655</v>
      </c>
      <c r="CO1219" s="584" t="s">
        <v>1910</v>
      </c>
      <c r="CP1219" s="584" t="s">
        <v>1888</v>
      </c>
      <c r="CQ1219" s="584" t="s">
        <v>4656</v>
      </c>
      <c r="CR1219" s="584" t="s">
        <v>4656</v>
      </c>
      <c r="CS1219" s="584" t="s">
        <v>2583</v>
      </c>
      <c r="CT1219" s="584" t="s">
        <v>2584</v>
      </c>
      <c r="CU1219" s="584" t="s">
        <v>3080</v>
      </c>
      <c r="CV1219" s="585" t="s">
        <v>3081</v>
      </c>
    </row>
    <row r="1220" spans="91:100" ht="25.5" x14ac:dyDescent="0.25">
      <c r="CM1220" s="582"/>
      <c r="CN1220" s="584" t="s">
        <v>4657</v>
      </c>
      <c r="CO1220" s="584" t="s">
        <v>1910</v>
      </c>
      <c r="CP1220" s="584" t="s">
        <v>1888</v>
      </c>
      <c r="CQ1220" s="584" t="s">
        <v>4658</v>
      </c>
      <c r="CR1220" s="584" t="s">
        <v>4658</v>
      </c>
      <c r="CS1220" s="584" t="s">
        <v>2583</v>
      </c>
      <c r="CT1220" s="584" t="s">
        <v>2584</v>
      </c>
      <c r="CU1220" s="584" t="s">
        <v>3080</v>
      </c>
      <c r="CV1220" s="585" t="s">
        <v>3081</v>
      </c>
    </row>
    <row r="1221" spans="91:100" ht="25.5" x14ac:dyDescent="0.25">
      <c r="CM1221" s="582"/>
      <c r="CN1221" s="584" t="s">
        <v>4659</v>
      </c>
      <c r="CO1221" s="584" t="s">
        <v>1910</v>
      </c>
      <c r="CP1221" s="584" t="s">
        <v>1888</v>
      </c>
      <c r="CQ1221" s="584" t="s">
        <v>4660</v>
      </c>
      <c r="CR1221" s="584" t="s">
        <v>4660</v>
      </c>
      <c r="CS1221" s="584" t="s">
        <v>2583</v>
      </c>
      <c r="CT1221" s="584" t="s">
        <v>2584</v>
      </c>
      <c r="CU1221" s="584" t="s">
        <v>3080</v>
      </c>
      <c r="CV1221" s="585" t="s">
        <v>3081</v>
      </c>
    </row>
    <row r="1222" spans="91:100" ht="25.5" x14ac:dyDescent="0.25">
      <c r="CM1222" s="582"/>
      <c r="CN1222" s="584" t="s">
        <v>4661</v>
      </c>
      <c r="CO1222" s="584" t="s">
        <v>1910</v>
      </c>
      <c r="CP1222" s="584" t="s">
        <v>1888</v>
      </c>
      <c r="CQ1222" s="584" t="s">
        <v>4662</v>
      </c>
      <c r="CR1222" s="584" t="s">
        <v>4662</v>
      </c>
      <c r="CS1222" s="584" t="s">
        <v>2583</v>
      </c>
      <c r="CT1222" s="584" t="s">
        <v>2584</v>
      </c>
      <c r="CU1222" s="584" t="s">
        <v>3080</v>
      </c>
      <c r="CV1222" s="585" t="s">
        <v>3081</v>
      </c>
    </row>
    <row r="1223" spans="91:100" ht="25.5" x14ac:dyDescent="0.25">
      <c r="CM1223" s="582"/>
      <c r="CN1223" s="584" t="s">
        <v>4663</v>
      </c>
      <c r="CO1223" s="584" t="s">
        <v>1910</v>
      </c>
      <c r="CP1223" s="584" t="s">
        <v>1888</v>
      </c>
      <c r="CQ1223" s="584" t="s">
        <v>4664</v>
      </c>
      <c r="CR1223" s="584" t="s">
        <v>4664</v>
      </c>
      <c r="CS1223" s="584" t="s">
        <v>2583</v>
      </c>
      <c r="CT1223" s="584" t="s">
        <v>2584</v>
      </c>
      <c r="CU1223" s="584" t="s">
        <v>3080</v>
      </c>
      <c r="CV1223" s="585" t="s">
        <v>3081</v>
      </c>
    </row>
    <row r="1224" spans="91:100" ht="25.5" x14ac:dyDescent="0.25">
      <c r="CM1224" s="582"/>
      <c r="CN1224" s="584" t="s">
        <v>4665</v>
      </c>
      <c r="CO1224" s="584" t="s">
        <v>1910</v>
      </c>
      <c r="CP1224" s="584" t="s">
        <v>1888</v>
      </c>
      <c r="CQ1224" s="584" t="s">
        <v>4666</v>
      </c>
      <c r="CR1224" s="584" t="s">
        <v>4666</v>
      </c>
      <c r="CS1224" s="584" t="s">
        <v>2583</v>
      </c>
      <c r="CT1224" s="584" t="s">
        <v>2584</v>
      </c>
      <c r="CU1224" s="584" t="s">
        <v>3080</v>
      </c>
      <c r="CV1224" s="585" t="s">
        <v>3081</v>
      </c>
    </row>
    <row r="1225" spans="91:100" ht="25.5" x14ac:dyDescent="0.25">
      <c r="CM1225" s="582"/>
      <c r="CN1225" s="584" t="s">
        <v>4667</v>
      </c>
      <c r="CO1225" s="584" t="s">
        <v>1910</v>
      </c>
      <c r="CP1225" s="584" t="s">
        <v>1888</v>
      </c>
      <c r="CQ1225" s="584" t="s">
        <v>4668</v>
      </c>
      <c r="CR1225" s="584" t="s">
        <v>4668</v>
      </c>
      <c r="CS1225" s="584" t="s">
        <v>2583</v>
      </c>
      <c r="CT1225" s="584" t="s">
        <v>2584</v>
      </c>
      <c r="CU1225" s="584" t="s">
        <v>3080</v>
      </c>
      <c r="CV1225" s="585" t="s">
        <v>3081</v>
      </c>
    </row>
    <row r="1226" spans="91:100" ht="25.5" x14ac:dyDescent="0.25">
      <c r="CM1226" s="582"/>
      <c r="CN1226" s="584" t="s">
        <v>4669</v>
      </c>
      <c r="CO1226" s="584" t="s">
        <v>1910</v>
      </c>
      <c r="CP1226" s="584" t="s">
        <v>1888</v>
      </c>
      <c r="CQ1226" s="584" t="s">
        <v>4670</v>
      </c>
      <c r="CR1226" s="584" t="s">
        <v>4670</v>
      </c>
      <c r="CS1226" s="584" t="s">
        <v>2583</v>
      </c>
      <c r="CT1226" s="584" t="s">
        <v>2584</v>
      </c>
      <c r="CU1226" s="584" t="s">
        <v>3080</v>
      </c>
      <c r="CV1226" s="585" t="s">
        <v>3081</v>
      </c>
    </row>
    <row r="1227" spans="91:100" ht="25.5" x14ac:dyDescent="0.25">
      <c r="CM1227" s="582"/>
      <c r="CN1227" s="584" t="s">
        <v>4671</v>
      </c>
      <c r="CO1227" s="584" t="s">
        <v>1910</v>
      </c>
      <c r="CP1227" s="584" t="s">
        <v>1888</v>
      </c>
      <c r="CQ1227" s="584" t="s">
        <v>4672</v>
      </c>
      <c r="CR1227" s="584" t="s">
        <v>4672</v>
      </c>
      <c r="CS1227" s="584" t="s">
        <v>2583</v>
      </c>
      <c r="CT1227" s="584" t="s">
        <v>2584</v>
      </c>
      <c r="CU1227" s="584" t="s">
        <v>3080</v>
      </c>
      <c r="CV1227" s="585" t="s">
        <v>3081</v>
      </c>
    </row>
    <row r="1228" spans="91:100" ht="25.5" x14ac:dyDescent="0.25">
      <c r="CM1228" s="582"/>
      <c r="CN1228" s="584" t="s">
        <v>4673</v>
      </c>
      <c r="CO1228" s="584" t="s">
        <v>1910</v>
      </c>
      <c r="CP1228" s="584" t="s">
        <v>1888</v>
      </c>
      <c r="CQ1228" s="584" t="s">
        <v>4674</v>
      </c>
      <c r="CR1228" s="584" t="s">
        <v>4674</v>
      </c>
      <c r="CS1228" s="584" t="s">
        <v>2583</v>
      </c>
      <c r="CT1228" s="584" t="s">
        <v>2584</v>
      </c>
      <c r="CU1228" s="584" t="s">
        <v>3080</v>
      </c>
      <c r="CV1228" s="585" t="s">
        <v>3081</v>
      </c>
    </row>
    <row r="1229" spans="91:100" ht="25.5" x14ac:dyDescent="0.25">
      <c r="CM1229" s="582"/>
      <c r="CN1229" s="584" t="s">
        <v>4675</v>
      </c>
      <c r="CO1229" s="584" t="s">
        <v>1910</v>
      </c>
      <c r="CP1229" s="584" t="s">
        <v>1888</v>
      </c>
      <c r="CQ1229" s="584" t="s">
        <v>4676</v>
      </c>
      <c r="CR1229" s="584" t="s">
        <v>4676</v>
      </c>
      <c r="CS1229" s="584" t="s">
        <v>2583</v>
      </c>
      <c r="CT1229" s="584" t="s">
        <v>2584</v>
      </c>
      <c r="CU1229" s="584" t="s">
        <v>3080</v>
      </c>
      <c r="CV1229" s="585" t="s">
        <v>3081</v>
      </c>
    </row>
    <row r="1230" spans="91:100" ht="25.5" x14ac:dyDescent="0.25">
      <c r="CM1230" s="582"/>
      <c r="CN1230" s="584" t="s">
        <v>4677</v>
      </c>
      <c r="CO1230" s="584" t="s">
        <v>1910</v>
      </c>
      <c r="CP1230" s="584" t="s">
        <v>1888</v>
      </c>
      <c r="CQ1230" s="584" t="s">
        <v>4678</v>
      </c>
      <c r="CR1230" s="584" t="s">
        <v>4678</v>
      </c>
      <c r="CS1230" s="584" t="s">
        <v>2583</v>
      </c>
      <c r="CT1230" s="584" t="s">
        <v>2584</v>
      </c>
      <c r="CU1230" s="584" t="s">
        <v>3080</v>
      </c>
      <c r="CV1230" s="585" t="s">
        <v>3081</v>
      </c>
    </row>
    <row r="1231" spans="91:100" ht="25.5" x14ac:dyDescent="0.25">
      <c r="CM1231" s="582"/>
      <c r="CN1231" s="584" t="s">
        <v>4679</v>
      </c>
      <c r="CO1231" s="584" t="s">
        <v>1910</v>
      </c>
      <c r="CP1231" s="584" t="s">
        <v>1888</v>
      </c>
      <c r="CQ1231" s="584" t="s">
        <v>4680</v>
      </c>
      <c r="CR1231" s="584" t="s">
        <v>4680</v>
      </c>
      <c r="CS1231" s="584" t="s">
        <v>2583</v>
      </c>
      <c r="CT1231" s="584" t="s">
        <v>2584</v>
      </c>
      <c r="CU1231" s="584" t="s">
        <v>3080</v>
      </c>
      <c r="CV1231" s="585" t="s">
        <v>3081</v>
      </c>
    </row>
    <row r="1232" spans="91:100" ht="25.5" x14ac:dyDescent="0.25">
      <c r="CM1232" s="582"/>
      <c r="CN1232" s="584" t="s">
        <v>4681</v>
      </c>
      <c r="CO1232" s="584" t="s">
        <v>1910</v>
      </c>
      <c r="CP1232" s="584" t="s">
        <v>1888</v>
      </c>
      <c r="CQ1232" s="584" t="s">
        <v>4682</v>
      </c>
      <c r="CR1232" s="584" t="s">
        <v>4682</v>
      </c>
      <c r="CS1232" s="584" t="s">
        <v>2583</v>
      </c>
      <c r="CT1232" s="584" t="s">
        <v>2584</v>
      </c>
      <c r="CU1232" s="584" t="s">
        <v>3080</v>
      </c>
      <c r="CV1232" s="585" t="s">
        <v>3081</v>
      </c>
    </row>
    <row r="1233" spans="91:100" ht="25.5" x14ac:dyDescent="0.25">
      <c r="CM1233" s="582"/>
      <c r="CN1233" s="584" t="s">
        <v>4683</v>
      </c>
      <c r="CO1233" s="584" t="s">
        <v>1910</v>
      </c>
      <c r="CP1233" s="584" t="s">
        <v>1888</v>
      </c>
      <c r="CQ1233" s="584" t="s">
        <v>4684</v>
      </c>
      <c r="CR1233" s="584" t="s">
        <v>4684</v>
      </c>
      <c r="CS1233" s="584" t="s">
        <v>2583</v>
      </c>
      <c r="CT1233" s="584" t="s">
        <v>2584</v>
      </c>
      <c r="CU1233" s="584" t="s">
        <v>3080</v>
      </c>
      <c r="CV1233" s="585" t="s">
        <v>3081</v>
      </c>
    </row>
    <row r="1234" spans="91:100" ht="25.5" x14ac:dyDescent="0.25">
      <c r="CM1234" s="582"/>
      <c r="CN1234" s="584" t="s">
        <v>4685</v>
      </c>
      <c r="CO1234" s="584" t="s">
        <v>1910</v>
      </c>
      <c r="CP1234" s="584" t="s">
        <v>1888</v>
      </c>
      <c r="CQ1234" s="584" t="s">
        <v>4686</v>
      </c>
      <c r="CR1234" s="584" t="s">
        <v>4686</v>
      </c>
      <c r="CS1234" s="584" t="s">
        <v>2583</v>
      </c>
      <c r="CT1234" s="584" t="s">
        <v>2584</v>
      </c>
      <c r="CU1234" s="584" t="s">
        <v>3080</v>
      </c>
      <c r="CV1234" s="585" t="s">
        <v>3081</v>
      </c>
    </row>
    <row r="1235" spans="91:100" ht="25.5" x14ac:dyDescent="0.25">
      <c r="CM1235" s="582"/>
      <c r="CN1235" s="584" t="s">
        <v>4687</v>
      </c>
      <c r="CO1235" s="584" t="s">
        <v>1910</v>
      </c>
      <c r="CP1235" s="584" t="s">
        <v>1888</v>
      </c>
      <c r="CQ1235" s="584" t="s">
        <v>4688</v>
      </c>
      <c r="CR1235" s="584" t="s">
        <v>4688</v>
      </c>
      <c r="CS1235" s="584" t="s">
        <v>2583</v>
      </c>
      <c r="CT1235" s="584" t="s">
        <v>2584</v>
      </c>
      <c r="CU1235" s="584" t="s">
        <v>3080</v>
      </c>
      <c r="CV1235" s="585" t="s">
        <v>3081</v>
      </c>
    </row>
    <row r="1236" spans="91:100" ht="25.5" x14ac:dyDescent="0.25">
      <c r="CM1236" s="582"/>
      <c r="CN1236" s="584" t="s">
        <v>4689</v>
      </c>
      <c r="CO1236" s="584" t="s">
        <v>1910</v>
      </c>
      <c r="CP1236" s="584" t="s">
        <v>1888</v>
      </c>
      <c r="CQ1236" s="584" t="s">
        <v>4690</v>
      </c>
      <c r="CR1236" s="584" t="s">
        <v>4690</v>
      </c>
      <c r="CS1236" s="584" t="s">
        <v>2583</v>
      </c>
      <c r="CT1236" s="584" t="s">
        <v>2584</v>
      </c>
      <c r="CU1236" s="584" t="s">
        <v>3080</v>
      </c>
      <c r="CV1236" s="585" t="s">
        <v>3081</v>
      </c>
    </row>
    <row r="1237" spans="91:100" ht="25.5" x14ac:dyDescent="0.25">
      <c r="CM1237" s="582"/>
      <c r="CN1237" s="584" t="s">
        <v>4691</v>
      </c>
      <c r="CO1237" s="584" t="s">
        <v>1910</v>
      </c>
      <c r="CP1237" s="584" t="s">
        <v>1888</v>
      </c>
      <c r="CQ1237" s="584" t="s">
        <v>4692</v>
      </c>
      <c r="CR1237" s="584" t="s">
        <v>4692</v>
      </c>
      <c r="CS1237" s="584" t="s">
        <v>2583</v>
      </c>
      <c r="CT1237" s="584" t="s">
        <v>2584</v>
      </c>
      <c r="CU1237" s="584" t="s">
        <v>3080</v>
      </c>
      <c r="CV1237" s="585" t="s">
        <v>3081</v>
      </c>
    </row>
    <row r="1238" spans="91:100" ht="25.5" x14ac:dyDescent="0.25">
      <c r="CM1238" s="582"/>
      <c r="CN1238" s="584" t="s">
        <v>4693</v>
      </c>
      <c r="CO1238" s="584" t="s">
        <v>1910</v>
      </c>
      <c r="CP1238" s="584" t="s">
        <v>1888</v>
      </c>
      <c r="CQ1238" s="584" t="s">
        <v>4694</v>
      </c>
      <c r="CR1238" s="584" t="s">
        <v>4694</v>
      </c>
      <c r="CS1238" s="584" t="s">
        <v>2583</v>
      </c>
      <c r="CT1238" s="584" t="s">
        <v>2584</v>
      </c>
      <c r="CU1238" s="584" t="s">
        <v>3080</v>
      </c>
      <c r="CV1238" s="585" t="s">
        <v>3081</v>
      </c>
    </row>
    <row r="1239" spans="91:100" ht="25.5" x14ac:dyDescent="0.25">
      <c r="CM1239" s="582"/>
      <c r="CN1239" s="584" t="s">
        <v>4695</v>
      </c>
      <c r="CO1239" s="584" t="s">
        <v>1910</v>
      </c>
      <c r="CP1239" s="584" t="s">
        <v>1888</v>
      </c>
      <c r="CQ1239" s="584" t="s">
        <v>4696</v>
      </c>
      <c r="CR1239" s="584" t="s">
        <v>4696</v>
      </c>
      <c r="CS1239" s="584" t="s">
        <v>2583</v>
      </c>
      <c r="CT1239" s="584" t="s">
        <v>2584</v>
      </c>
      <c r="CU1239" s="584" t="s">
        <v>3080</v>
      </c>
      <c r="CV1239" s="585" t="s">
        <v>3081</v>
      </c>
    </row>
    <row r="1240" spans="91:100" ht="25.5" x14ac:dyDescent="0.25">
      <c r="CM1240" s="582"/>
      <c r="CN1240" s="584" t="s">
        <v>4697</v>
      </c>
      <c r="CO1240" s="584" t="s">
        <v>1910</v>
      </c>
      <c r="CP1240" s="584" t="s">
        <v>1888</v>
      </c>
      <c r="CQ1240" s="584" t="s">
        <v>4698</v>
      </c>
      <c r="CR1240" s="584" t="s">
        <v>4698</v>
      </c>
      <c r="CS1240" s="584" t="s">
        <v>2583</v>
      </c>
      <c r="CT1240" s="584" t="s">
        <v>2584</v>
      </c>
      <c r="CU1240" s="584" t="s">
        <v>3080</v>
      </c>
      <c r="CV1240" s="585" t="s">
        <v>3081</v>
      </c>
    </row>
    <row r="1241" spans="91:100" ht="25.5" x14ac:dyDescent="0.25">
      <c r="CM1241" s="582"/>
      <c r="CN1241" s="584" t="s">
        <v>4699</v>
      </c>
      <c r="CO1241" s="584" t="s">
        <v>1910</v>
      </c>
      <c r="CP1241" s="584" t="s">
        <v>1888</v>
      </c>
      <c r="CQ1241" s="584" t="s">
        <v>4700</v>
      </c>
      <c r="CR1241" s="584" t="s">
        <v>4700</v>
      </c>
      <c r="CS1241" s="584" t="s">
        <v>2583</v>
      </c>
      <c r="CT1241" s="584" t="s">
        <v>2584</v>
      </c>
      <c r="CU1241" s="584" t="s">
        <v>3080</v>
      </c>
      <c r="CV1241" s="585" t="s">
        <v>3081</v>
      </c>
    </row>
    <row r="1242" spans="91:100" ht="25.5" x14ac:dyDescent="0.25">
      <c r="CM1242" s="582"/>
      <c r="CN1242" s="584" t="s">
        <v>4701</v>
      </c>
      <c r="CO1242" s="584" t="s">
        <v>1910</v>
      </c>
      <c r="CP1242" s="584" t="s">
        <v>1888</v>
      </c>
      <c r="CQ1242" s="584" t="s">
        <v>4702</v>
      </c>
      <c r="CR1242" s="584" t="s">
        <v>4702</v>
      </c>
      <c r="CS1242" s="584" t="s">
        <v>2583</v>
      </c>
      <c r="CT1242" s="584" t="s">
        <v>2584</v>
      </c>
      <c r="CU1242" s="584" t="s">
        <v>3080</v>
      </c>
      <c r="CV1242" s="585" t="s">
        <v>3081</v>
      </c>
    </row>
    <row r="1243" spans="91:100" ht="25.5" x14ac:dyDescent="0.25">
      <c r="CM1243" s="582"/>
      <c r="CN1243" s="584" t="s">
        <v>4703</v>
      </c>
      <c r="CO1243" s="584" t="s">
        <v>1910</v>
      </c>
      <c r="CP1243" s="584" t="s">
        <v>1888</v>
      </c>
      <c r="CQ1243" s="584" t="s">
        <v>4704</v>
      </c>
      <c r="CR1243" s="584" t="s">
        <v>4704</v>
      </c>
      <c r="CS1243" s="584" t="s">
        <v>2583</v>
      </c>
      <c r="CT1243" s="584" t="s">
        <v>2584</v>
      </c>
      <c r="CU1243" s="584" t="s">
        <v>3080</v>
      </c>
      <c r="CV1243" s="585" t="s">
        <v>3081</v>
      </c>
    </row>
    <row r="1244" spans="91:100" ht="25.5" x14ac:dyDescent="0.25">
      <c r="CM1244" s="582"/>
      <c r="CN1244" s="584" t="s">
        <v>4705</v>
      </c>
      <c r="CO1244" s="584" t="s">
        <v>1910</v>
      </c>
      <c r="CP1244" s="584" t="s">
        <v>1888</v>
      </c>
      <c r="CQ1244" s="584" t="s">
        <v>4706</v>
      </c>
      <c r="CR1244" s="584" t="s">
        <v>4706</v>
      </c>
      <c r="CS1244" s="584" t="s">
        <v>2583</v>
      </c>
      <c r="CT1244" s="584" t="s">
        <v>2584</v>
      </c>
      <c r="CU1244" s="584" t="s">
        <v>3080</v>
      </c>
      <c r="CV1244" s="585" t="s">
        <v>3081</v>
      </c>
    </row>
    <row r="1245" spans="91:100" ht="25.5" x14ac:dyDescent="0.25">
      <c r="CM1245" s="582"/>
      <c r="CN1245" s="584" t="s">
        <v>4707</v>
      </c>
      <c r="CO1245" s="584" t="s">
        <v>1910</v>
      </c>
      <c r="CP1245" s="584" t="s">
        <v>1888</v>
      </c>
      <c r="CQ1245" s="584" t="s">
        <v>4708</v>
      </c>
      <c r="CR1245" s="584" t="s">
        <v>4708</v>
      </c>
      <c r="CS1245" s="584" t="s">
        <v>2583</v>
      </c>
      <c r="CT1245" s="584" t="s">
        <v>2584</v>
      </c>
      <c r="CU1245" s="584" t="s">
        <v>3080</v>
      </c>
      <c r="CV1245" s="585" t="s">
        <v>3081</v>
      </c>
    </row>
    <row r="1246" spans="91:100" ht="25.5" x14ac:dyDescent="0.25">
      <c r="CM1246" s="582"/>
      <c r="CN1246" s="584" t="s">
        <v>4709</v>
      </c>
      <c r="CO1246" s="584" t="s">
        <v>1910</v>
      </c>
      <c r="CP1246" s="584" t="s">
        <v>1888</v>
      </c>
      <c r="CQ1246" s="584" t="s">
        <v>4710</v>
      </c>
      <c r="CR1246" s="584" t="s">
        <v>4710</v>
      </c>
      <c r="CS1246" s="584" t="s">
        <v>2583</v>
      </c>
      <c r="CT1246" s="584" t="s">
        <v>2584</v>
      </c>
      <c r="CU1246" s="584" t="s">
        <v>3080</v>
      </c>
      <c r="CV1246" s="585" t="s">
        <v>3081</v>
      </c>
    </row>
    <row r="1247" spans="91:100" ht="25.5" x14ac:dyDescent="0.25">
      <c r="CM1247" s="582"/>
      <c r="CN1247" s="584" t="s">
        <v>4711</v>
      </c>
      <c r="CO1247" s="584" t="s">
        <v>1910</v>
      </c>
      <c r="CP1247" s="584" t="s">
        <v>1888</v>
      </c>
      <c r="CQ1247" s="584" t="s">
        <v>4712</v>
      </c>
      <c r="CR1247" s="584" t="s">
        <v>4712</v>
      </c>
      <c r="CS1247" s="584" t="s">
        <v>2583</v>
      </c>
      <c r="CT1247" s="584" t="s">
        <v>2584</v>
      </c>
      <c r="CU1247" s="584" t="s">
        <v>3080</v>
      </c>
      <c r="CV1247" s="585" t="s">
        <v>3081</v>
      </c>
    </row>
    <row r="1248" spans="91:100" ht="25.5" x14ac:dyDescent="0.25">
      <c r="CM1248" s="582"/>
      <c r="CN1248" s="584" t="s">
        <v>4713</v>
      </c>
      <c r="CO1248" s="584" t="s">
        <v>1910</v>
      </c>
      <c r="CP1248" s="584" t="s">
        <v>1888</v>
      </c>
      <c r="CQ1248" s="584" t="s">
        <v>4714</v>
      </c>
      <c r="CR1248" s="584" t="s">
        <v>4714</v>
      </c>
      <c r="CS1248" s="584" t="s">
        <v>2583</v>
      </c>
      <c r="CT1248" s="584" t="s">
        <v>2584</v>
      </c>
      <c r="CU1248" s="584" t="s">
        <v>3080</v>
      </c>
      <c r="CV1248" s="585" t="s">
        <v>3081</v>
      </c>
    </row>
    <row r="1249" spans="91:100" ht="25.5" x14ac:dyDescent="0.25">
      <c r="CM1249" s="582"/>
      <c r="CN1249" s="584" t="s">
        <v>4715</v>
      </c>
      <c r="CO1249" s="584" t="s">
        <v>1910</v>
      </c>
      <c r="CP1249" s="584" t="s">
        <v>1888</v>
      </c>
      <c r="CQ1249" s="584" t="s">
        <v>4716</v>
      </c>
      <c r="CR1249" s="584" t="s">
        <v>4716</v>
      </c>
      <c r="CS1249" s="584" t="s">
        <v>2583</v>
      </c>
      <c r="CT1249" s="584" t="s">
        <v>2584</v>
      </c>
      <c r="CU1249" s="584" t="s">
        <v>3080</v>
      </c>
      <c r="CV1249" s="585" t="s">
        <v>3081</v>
      </c>
    </row>
    <row r="1250" spans="91:100" ht="25.5" x14ac:dyDescent="0.25">
      <c r="CM1250" s="582"/>
      <c r="CN1250" s="584" t="s">
        <v>4717</v>
      </c>
      <c r="CO1250" s="584" t="s">
        <v>1910</v>
      </c>
      <c r="CP1250" s="584" t="s">
        <v>1888</v>
      </c>
      <c r="CQ1250" s="584" t="s">
        <v>4718</v>
      </c>
      <c r="CR1250" s="584" t="s">
        <v>4718</v>
      </c>
      <c r="CS1250" s="584" t="s">
        <v>2583</v>
      </c>
      <c r="CT1250" s="584" t="s">
        <v>2584</v>
      </c>
      <c r="CU1250" s="584" t="s">
        <v>3080</v>
      </c>
      <c r="CV1250" s="585" t="s">
        <v>3081</v>
      </c>
    </row>
    <row r="1251" spans="91:100" ht="25.5" x14ac:dyDescent="0.25">
      <c r="CM1251" s="582"/>
      <c r="CN1251" s="584" t="s">
        <v>4719</v>
      </c>
      <c r="CO1251" s="584" t="s">
        <v>1910</v>
      </c>
      <c r="CP1251" s="584" t="s">
        <v>1888</v>
      </c>
      <c r="CQ1251" s="584" t="s">
        <v>4720</v>
      </c>
      <c r="CR1251" s="584" t="s">
        <v>4720</v>
      </c>
      <c r="CS1251" s="584" t="s">
        <v>2583</v>
      </c>
      <c r="CT1251" s="584" t="s">
        <v>2584</v>
      </c>
      <c r="CU1251" s="584" t="s">
        <v>3080</v>
      </c>
      <c r="CV1251" s="585" t="s">
        <v>3081</v>
      </c>
    </row>
    <row r="1252" spans="91:100" ht="25.5" x14ac:dyDescent="0.25">
      <c r="CM1252" s="582"/>
      <c r="CN1252" s="584" t="s">
        <v>4721</v>
      </c>
      <c r="CO1252" s="584" t="s">
        <v>1910</v>
      </c>
      <c r="CP1252" s="584" t="s">
        <v>1888</v>
      </c>
      <c r="CQ1252" s="584" t="s">
        <v>4722</v>
      </c>
      <c r="CR1252" s="584" t="s">
        <v>4722</v>
      </c>
      <c r="CS1252" s="584" t="s">
        <v>2583</v>
      </c>
      <c r="CT1252" s="584" t="s">
        <v>2584</v>
      </c>
      <c r="CU1252" s="584" t="s">
        <v>3080</v>
      </c>
      <c r="CV1252" s="585" t="s">
        <v>3081</v>
      </c>
    </row>
    <row r="1253" spans="91:100" ht="25.5" x14ac:dyDescent="0.25">
      <c r="CM1253" s="582"/>
      <c r="CN1253" s="584" t="s">
        <v>4723</v>
      </c>
      <c r="CO1253" s="584" t="s">
        <v>1910</v>
      </c>
      <c r="CP1253" s="584" t="s">
        <v>1888</v>
      </c>
      <c r="CQ1253" s="584" t="s">
        <v>4724</v>
      </c>
      <c r="CR1253" s="584" t="s">
        <v>4724</v>
      </c>
      <c r="CS1253" s="584" t="s">
        <v>2583</v>
      </c>
      <c r="CT1253" s="584" t="s">
        <v>2584</v>
      </c>
      <c r="CU1253" s="584" t="s">
        <v>3080</v>
      </c>
      <c r="CV1253" s="585" t="s">
        <v>3081</v>
      </c>
    </row>
    <row r="1254" spans="91:100" ht="25.5" x14ac:dyDescent="0.25">
      <c r="CM1254" s="582"/>
      <c r="CN1254" s="584" t="s">
        <v>4725</v>
      </c>
      <c r="CO1254" s="584" t="s">
        <v>1910</v>
      </c>
      <c r="CP1254" s="584" t="s">
        <v>1888</v>
      </c>
      <c r="CQ1254" s="584" t="s">
        <v>4726</v>
      </c>
      <c r="CR1254" s="584" t="s">
        <v>4726</v>
      </c>
      <c r="CS1254" s="584" t="s">
        <v>2583</v>
      </c>
      <c r="CT1254" s="584" t="s">
        <v>2584</v>
      </c>
      <c r="CU1254" s="584" t="s">
        <v>3080</v>
      </c>
      <c r="CV1254" s="585" t="s">
        <v>3081</v>
      </c>
    </row>
    <row r="1255" spans="91:100" ht="25.5" x14ac:dyDescent="0.25">
      <c r="CM1255" s="582"/>
      <c r="CN1255" s="584" t="s">
        <v>4727</v>
      </c>
      <c r="CO1255" s="584" t="s">
        <v>1910</v>
      </c>
      <c r="CP1255" s="584" t="s">
        <v>1888</v>
      </c>
      <c r="CQ1255" s="584" t="s">
        <v>4728</v>
      </c>
      <c r="CR1255" s="584" t="s">
        <v>4728</v>
      </c>
      <c r="CS1255" s="584" t="s">
        <v>2583</v>
      </c>
      <c r="CT1255" s="584" t="s">
        <v>2584</v>
      </c>
      <c r="CU1255" s="584" t="s">
        <v>3080</v>
      </c>
      <c r="CV1255" s="585" t="s">
        <v>3081</v>
      </c>
    </row>
    <row r="1256" spans="91:100" ht="25.5" x14ac:dyDescent="0.25">
      <c r="CM1256" s="582"/>
      <c r="CN1256" s="584" t="s">
        <v>4729</v>
      </c>
      <c r="CO1256" s="584" t="s">
        <v>1910</v>
      </c>
      <c r="CP1256" s="584" t="s">
        <v>1888</v>
      </c>
      <c r="CQ1256" s="584" t="s">
        <v>4730</v>
      </c>
      <c r="CR1256" s="584" t="s">
        <v>4730</v>
      </c>
      <c r="CS1256" s="584" t="s">
        <v>2583</v>
      </c>
      <c r="CT1256" s="584" t="s">
        <v>2584</v>
      </c>
      <c r="CU1256" s="584" t="s">
        <v>3080</v>
      </c>
      <c r="CV1256" s="585" t="s">
        <v>3081</v>
      </c>
    </row>
    <row r="1257" spans="91:100" ht="25.5" x14ac:dyDescent="0.25">
      <c r="CM1257" s="582"/>
      <c r="CN1257" s="584" t="s">
        <v>4731</v>
      </c>
      <c r="CO1257" s="584" t="s">
        <v>1910</v>
      </c>
      <c r="CP1257" s="584" t="s">
        <v>1888</v>
      </c>
      <c r="CQ1257" s="584" t="s">
        <v>4732</v>
      </c>
      <c r="CR1257" s="584" t="s">
        <v>4732</v>
      </c>
      <c r="CS1257" s="584" t="s">
        <v>2583</v>
      </c>
      <c r="CT1257" s="584" t="s">
        <v>2584</v>
      </c>
      <c r="CU1257" s="584" t="s">
        <v>3080</v>
      </c>
      <c r="CV1257" s="585" t="s">
        <v>3081</v>
      </c>
    </row>
    <row r="1258" spans="91:100" x14ac:dyDescent="0.25">
      <c r="CM1258" s="582"/>
      <c r="CN1258" s="584" t="s">
        <v>4733</v>
      </c>
      <c r="CO1258" s="584" t="s">
        <v>1910</v>
      </c>
      <c r="CP1258" s="584" t="s">
        <v>1888</v>
      </c>
      <c r="CQ1258" s="584" t="s">
        <v>4734</v>
      </c>
      <c r="CR1258" s="584" t="s">
        <v>4734</v>
      </c>
      <c r="CS1258" s="584" t="s">
        <v>1890</v>
      </c>
      <c r="CT1258" s="584" t="s">
        <v>3163</v>
      </c>
      <c r="CU1258" s="584" t="s">
        <v>1892</v>
      </c>
      <c r="CV1258" s="585" t="s">
        <v>1893</v>
      </c>
    </row>
    <row r="1259" spans="91:100" ht="25.5" x14ac:dyDescent="0.25">
      <c r="CM1259" s="582"/>
      <c r="CN1259" s="584" t="s">
        <v>4735</v>
      </c>
      <c r="CO1259" s="584" t="s">
        <v>1910</v>
      </c>
      <c r="CP1259" s="584" t="s">
        <v>1888</v>
      </c>
      <c r="CQ1259" s="584" t="s">
        <v>4736</v>
      </c>
      <c r="CR1259" s="584" t="s">
        <v>4736</v>
      </c>
      <c r="CS1259" s="584" t="s">
        <v>2583</v>
      </c>
      <c r="CT1259" s="584" t="s">
        <v>2584</v>
      </c>
      <c r="CU1259" s="584" t="s">
        <v>3080</v>
      </c>
      <c r="CV1259" s="585" t="s">
        <v>3081</v>
      </c>
    </row>
    <row r="1260" spans="91:100" ht="25.5" x14ac:dyDescent="0.25">
      <c r="CM1260" s="582"/>
      <c r="CN1260" s="584" t="s">
        <v>4737</v>
      </c>
      <c r="CO1260" s="584" t="s">
        <v>1910</v>
      </c>
      <c r="CP1260" s="584" t="s">
        <v>1888</v>
      </c>
      <c r="CQ1260" s="584" t="s">
        <v>4738</v>
      </c>
      <c r="CR1260" s="584" t="s">
        <v>4738</v>
      </c>
      <c r="CS1260" s="584" t="s">
        <v>2583</v>
      </c>
      <c r="CT1260" s="584" t="s">
        <v>2584</v>
      </c>
      <c r="CU1260" s="584" t="s">
        <v>3080</v>
      </c>
      <c r="CV1260" s="585" t="s">
        <v>3081</v>
      </c>
    </row>
    <row r="1261" spans="91:100" ht="25.5" x14ac:dyDescent="0.25">
      <c r="CM1261" s="582"/>
      <c r="CN1261" s="584" t="s">
        <v>4739</v>
      </c>
      <c r="CO1261" s="584" t="s">
        <v>1910</v>
      </c>
      <c r="CP1261" s="584" t="s">
        <v>1888</v>
      </c>
      <c r="CQ1261" s="584" t="s">
        <v>4740</v>
      </c>
      <c r="CR1261" s="584" t="s">
        <v>4740</v>
      </c>
      <c r="CS1261" s="584" t="s">
        <v>2583</v>
      </c>
      <c r="CT1261" s="584" t="s">
        <v>2584</v>
      </c>
      <c r="CU1261" s="584" t="s">
        <v>3080</v>
      </c>
      <c r="CV1261" s="585" t="s">
        <v>3081</v>
      </c>
    </row>
    <row r="1262" spans="91:100" ht="25.5" x14ac:dyDescent="0.25">
      <c r="CM1262" s="582"/>
      <c r="CN1262" s="584" t="s">
        <v>4741</v>
      </c>
      <c r="CO1262" s="584" t="s">
        <v>1910</v>
      </c>
      <c r="CP1262" s="584" t="s">
        <v>1888</v>
      </c>
      <c r="CQ1262" s="584" t="s">
        <v>4742</v>
      </c>
      <c r="CR1262" s="584" t="s">
        <v>4742</v>
      </c>
      <c r="CS1262" s="584" t="s">
        <v>2583</v>
      </c>
      <c r="CT1262" s="584" t="s">
        <v>2584</v>
      </c>
      <c r="CU1262" s="584" t="s">
        <v>3080</v>
      </c>
      <c r="CV1262" s="585" t="s">
        <v>3081</v>
      </c>
    </row>
    <row r="1263" spans="91:100" ht="25.5" x14ac:dyDescent="0.25">
      <c r="CM1263" s="582"/>
      <c r="CN1263" s="584" t="s">
        <v>4743</v>
      </c>
      <c r="CO1263" s="584" t="s">
        <v>1910</v>
      </c>
      <c r="CP1263" s="584" t="s">
        <v>1888</v>
      </c>
      <c r="CQ1263" s="584" t="s">
        <v>4744</v>
      </c>
      <c r="CR1263" s="584" t="s">
        <v>4744</v>
      </c>
      <c r="CS1263" s="584" t="s">
        <v>2583</v>
      </c>
      <c r="CT1263" s="584" t="s">
        <v>2584</v>
      </c>
      <c r="CU1263" s="584" t="s">
        <v>3080</v>
      </c>
      <c r="CV1263" s="585" t="s">
        <v>3081</v>
      </c>
    </row>
    <row r="1264" spans="91:100" ht="25.5" x14ac:dyDescent="0.25">
      <c r="CM1264" s="582"/>
      <c r="CN1264" s="584" t="s">
        <v>4745</v>
      </c>
      <c r="CO1264" s="584" t="s">
        <v>1910</v>
      </c>
      <c r="CP1264" s="584" t="s">
        <v>1888</v>
      </c>
      <c r="CQ1264" s="584" t="s">
        <v>4746</v>
      </c>
      <c r="CR1264" s="584" t="s">
        <v>4746</v>
      </c>
      <c r="CS1264" s="584" t="s">
        <v>2583</v>
      </c>
      <c r="CT1264" s="584" t="s">
        <v>2584</v>
      </c>
      <c r="CU1264" s="584" t="s">
        <v>3080</v>
      </c>
      <c r="CV1264" s="585" t="s">
        <v>3081</v>
      </c>
    </row>
    <row r="1265" spans="91:100" ht="25.5" x14ac:dyDescent="0.25">
      <c r="CM1265" s="582"/>
      <c r="CN1265" s="584" t="s">
        <v>4747</v>
      </c>
      <c r="CO1265" s="584" t="s">
        <v>1910</v>
      </c>
      <c r="CP1265" s="584" t="s">
        <v>1888</v>
      </c>
      <c r="CQ1265" s="584" t="s">
        <v>4748</v>
      </c>
      <c r="CR1265" s="584" t="s">
        <v>4748</v>
      </c>
      <c r="CS1265" s="584" t="s">
        <v>2583</v>
      </c>
      <c r="CT1265" s="584" t="s">
        <v>2584</v>
      </c>
      <c r="CU1265" s="584" t="s">
        <v>3080</v>
      </c>
      <c r="CV1265" s="585" t="s">
        <v>3081</v>
      </c>
    </row>
    <row r="1266" spans="91:100" ht="25.5" x14ac:dyDescent="0.25">
      <c r="CM1266" s="582"/>
      <c r="CN1266" s="584" t="s">
        <v>4749</v>
      </c>
      <c r="CO1266" s="584" t="s">
        <v>1910</v>
      </c>
      <c r="CP1266" s="584" t="s">
        <v>1888</v>
      </c>
      <c r="CQ1266" s="584" t="s">
        <v>4750</v>
      </c>
      <c r="CR1266" s="584" t="s">
        <v>4750</v>
      </c>
      <c r="CS1266" s="584" t="s">
        <v>2583</v>
      </c>
      <c r="CT1266" s="584" t="s">
        <v>2584</v>
      </c>
      <c r="CU1266" s="584" t="s">
        <v>3080</v>
      </c>
      <c r="CV1266" s="585" t="s">
        <v>3081</v>
      </c>
    </row>
    <row r="1267" spans="91:100" ht="25.5" x14ac:dyDescent="0.25">
      <c r="CM1267" s="582"/>
      <c r="CN1267" s="584" t="s">
        <v>4751</v>
      </c>
      <c r="CO1267" s="584" t="s">
        <v>1910</v>
      </c>
      <c r="CP1267" s="584" t="s">
        <v>1888</v>
      </c>
      <c r="CQ1267" s="584" t="s">
        <v>4752</v>
      </c>
      <c r="CR1267" s="584" t="s">
        <v>4752</v>
      </c>
      <c r="CS1267" s="584" t="s">
        <v>2583</v>
      </c>
      <c r="CT1267" s="584" t="s">
        <v>2584</v>
      </c>
      <c r="CU1267" s="584" t="s">
        <v>3080</v>
      </c>
      <c r="CV1267" s="585" t="s">
        <v>3081</v>
      </c>
    </row>
    <row r="1268" spans="91:100" ht="25.5" x14ac:dyDescent="0.25">
      <c r="CM1268" s="582"/>
      <c r="CN1268" s="584" t="s">
        <v>4753</v>
      </c>
      <c r="CO1268" s="584" t="s">
        <v>1910</v>
      </c>
      <c r="CP1268" s="584" t="s">
        <v>1888</v>
      </c>
      <c r="CQ1268" s="584" t="s">
        <v>4754</v>
      </c>
      <c r="CR1268" s="584" t="s">
        <v>4754</v>
      </c>
      <c r="CS1268" s="584" t="s">
        <v>2583</v>
      </c>
      <c r="CT1268" s="584" t="s">
        <v>2584</v>
      </c>
      <c r="CU1268" s="584" t="s">
        <v>3080</v>
      </c>
      <c r="CV1268" s="585" t="s">
        <v>3081</v>
      </c>
    </row>
    <row r="1269" spans="91:100" ht="25.5" x14ac:dyDescent="0.25">
      <c r="CM1269" s="582"/>
      <c r="CN1269" s="584" t="s">
        <v>4755</v>
      </c>
      <c r="CO1269" s="584" t="s">
        <v>1910</v>
      </c>
      <c r="CP1269" s="584" t="s">
        <v>1888</v>
      </c>
      <c r="CQ1269" s="584" t="s">
        <v>4756</v>
      </c>
      <c r="CR1269" s="584" t="s">
        <v>4756</v>
      </c>
      <c r="CS1269" s="584" t="s">
        <v>2583</v>
      </c>
      <c r="CT1269" s="584" t="s">
        <v>2584</v>
      </c>
      <c r="CU1269" s="584" t="s">
        <v>3080</v>
      </c>
      <c r="CV1269" s="585" t="s">
        <v>3081</v>
      </c>
    </row>
    <row r="1270" spans="91:100" x14ac:dyDescent="0.25">
      <c r="CM1270" s="582"/>
      <c r="CN1270" s="584" t="s">
        <v>4757</v>
      </c>
      <c r="CO1270" s="584" t="s">
        <v>1910</v>
      </c>
      <c r="CP1270" s="584" t="s">
        <v>1888</v>
      </c>
      <c r="CQ1270" s="584" t="s">
        <v>2578</v>
      </c>
      <c r="CR1270" s="584" t="s">
        <v>2578</v>
      </c>
      <c r="CS1270" s="584" t="s">
        <v>1890</v>
      </c>
      <c r="CT1270" s="584" t="s">
        <v>3163</v>
      </c>
      <c r="CU1270" s="584" t="s">
        <v>1892</v>
      </c>
      <c r="CV1270" s="585" t="s">
        <v>1893</v>
      </c>
    </row>
    <row r="1271" spans="91:100" x14ac:dyDescent="0.25">
      <c r="CM1271" s="582"/>
      <c r="CN1271" s="584" t="s">
        <v>4758</v>
      </c>
      <c r="CO1271" s="584" t="s">
        <v>1910</v>
      </c>
      <c r="CP1271" s="584" t="s">
        <v>1888</v>
      </c>
      <c r="CQ1271" s="584" t="s">
        <v>4759</v>
      </c>
      <c r="CR1271" s="584" t="s">
        <v>4759</v>
      </c>
      <c r="CS1271" s="584" t="s">
        <v>1978</v>
      </c>
      <c r="CT1271" s="584" t="s">
        <v>1979</v>
      </c>
      <c r="CU1271" s="584" t="s">
        <v>1892</v>
      </c>
      <c r="CV1271" s="585" t="s">
        <v>1980</v>
      </c>
    </row>
    <row r="1272" spans="91:100" ht="25.5" x14ac:dyDescent="0.25">
      <c r="CM1272" s="582"/>
      <c r="CN1272" s="584" t="s">
        <v>4760</v>
      </c>
      <c r="CO1272" s="584" t="s">
        <v>1910</v>
      </c>
      <c r="CP1272" s="584" t="s">
        <v>1888</v>
      </c>
      <c r="CQ1272" s="584" t="s">
        <v>4761</v>
      </c>
      <c r="CR1272" s="584" t="s">
        <v>4761</v>
      </c>
      <c r="CS1272" s="584" t="s">
        <v>2583</v>
      </c>
      <c r="CT1272" s="584" t="s">
        <v>2584</v>
      </c>
      <c r="CU1272" s="584" t="s">
        <v>3080</v>
      </c>
      <c r="CV1272" s="585" t="s">
        <v>3081</v>
      </c>
    </row>
    <row r="1273" spans="91:100" ht="25.5" x14ac:dyDescent="0.25">
      <c r="CM1273" s="582"/>
      <c r="CN1273" s="584" t="s">
        <v>4762</v>
      </c>
      <c r="CO1273" s="584" t="s">
        <v>1910</v>
      </c>
      <c r="CP1273" s="584" t="s">
        <v>1888</v>
      </c>
      <c r="CQ1273" s="584" t="s">
        <v>4763</v>
      </c>
      <c r="CR1273" s="584" t="s">
        <v>4763</v>
      </c>
      <c r="CS1273" s="584" t="s">
        <v>2583</v>
      </c>
      <c r="CT1273" s="584" t="s">
        <v>2584</v>
      </c>
      <c r="CU1273" s="584" t="s">
        <v>3080</v>
      </c>
      <c r="CV1273" s="585" t="s">
        <v>3081</v>
      </c>
    </row>
    <row r="1274" spans="91:100" ht="25.5" x14ac:dyDescent="0.25">
      <c r="CM1274" s="582"/>
      <c r="CN1274" s="584" t="s">
        <v>4764</v>
      </c>
      <c r="CO1274" s="584" t="s">
        <v>1910</v>
      </c>
      <c r="CP1274" s="584" t="s">
        <v>1888</v>
      </c>
      <c r="CQ1274" s="584" t="s">
        <v>4765</v>
      </c>
      <c r="CR1274" s="584" t="s">
        <v>4765</v>
      </c>
      <c r="CS1274" s="584" t="s">
        <v>2583</v>
      </c>
      <c r="CT1274" s="584" t="s">
        <v>2584</v>
      </c>
      <c r="CU1274" s="584" t="s">
        <v>3080</v>
      </c>
      <c r="CV1274" s="585" t="s">
        <v>3081</v>
      </c>
    </row>
    <row r="1275" spans="91:100" ht="25.5" x14ac:dyDescent="0.25">
      <c r="CM1275" s="582"/>
      <c r="CN1275" s="584" t="s">
        <v>4766</v>
      </c>
      <c r="CO1275" s="584" t="s">
        <v>1910</v>
      </c>
      <c r="CP1275" s="584" t="s">
        <v>1888</v>
      </c>
      <c r="CQ1275" s="584" t="s">
        <v>4767</v>
      </c>
      <c r="CR1275" s="584" t="s">
        <v>4767</v>
      </c>
      <c r="CS1275" s="584" t="s">
        <v>2583</v>
      </c>
      <c r="CT1275" s="584" t="s">
        <v>2584</v>
      </c>
      <c r="CU1275" s="584" t="s">
        <v>3080</v>
      </c>
      <c r="CV1275" s="585" t="s">
        <v>3081</v>
      </c>
    </row>
    <row r="1276" spans="91:100" ht="25.5" x14ac:dyDescent="0.25">
      <c r="CM1276" s="582"/>
      <c r="CN1276" s="584" t="s">
        <v>4768</v>
      </c>
      <c r="CO1276" s="584" t="s">
        <v>1910</v>
      </c>
      <c r="CP1276" s="584" t="s">
        <v>1888</v>
      </c>
      <c r="CQ1276" s="584" t="s">
        <v>4769</v>
      </c>
      <c r="CR1276" s="584" t="s">
        <v>4769</v>
      </c>
      <c r="CS1276" s="584" t="s">
        <v>2583</v>
      </c>
      <c r="CT1276" s="584" t="s">
        <v>2584</v>
      </c>
      <c r="CU1276" s="584" t="s">
        <v>3080</v>
      </c>
      <c r="CV1276" s="585" t="s">
        <v>3081</v>
      </c>
    </row>
    <row r="1277" spans="91:100" ht="25.5" x14ac:dyDescent="0.25">
      <c r="CM1277" s="582"/>
      <c r="CN1277" s="584" t="s">
        <v>4770</v>
      </c>
      <c r="CO1277" s="584" t="s">
        <v>1910</v>
      </c>
      <c r="CP1277" s="584" t="s">
        <v>1888</v>
      </c>
      <c r="CQ1277" s="584" t="s">
        <v>4771</v>
      </c>
      <c r="CR1277" s="584" t="s">
        <v>4771</v>
      </c>
      <c r="CS1277" s="584" t="s">
        <v>2583</v>
      </c>
      <c r="CT1277" s="584" t="s">
        <v>2584</v>
      </c>
      <c r="CU1277" s="584" t="s">
        <v>3080</v>
      </c>
      <c r="CV1277" s="585" t="s">
        <v>3081</v>
      </c>
    </row>
    <row r="1278" spans="91:100" ht="25.5" x14ac:dyDescent="0.25">
      <c r="CM1278" s="582"/>
      <c r="CN1278" s="584" t="s">
        <v>4772</v>
      </c>
      <c r="CO1278" s="584" t="s">
        <v>1910</v>
      </c>
      <c r="CP1278" s="584" t="s">
        <v>1888</v>
      </c>
      <c r="CQ1278" s="584" t="s">
        <v>4773</v>
      </c>
      <c r="CR1278" s="584" t="s">
        <v>4773</v>
      </c>
      <c r="CS1278" s="584" t="s">
        <v>2583</v>
      </c>
      <c r="CT1278" s="584" t="s">
        <v>2584</v>
      </c>
      <c r="CU1278" s="584" t="s">
        <v>3080</v>
      </c>
      <c r="CV1278" s="585" t="s">
        <v>3081</v>
      </c>
    </row>
    <row r="1279" spans="91:100" ht="25.5" x14ac:dyDescent="0.25">
      <c r="CM1279" s="582"/>
      <c r="CN1279" s="584" t="s">
        <v>4774</v>
      </c>
      <c r="CO1279" s="584" t="s">
        <v>1910</v>
      </c>
      <c r="CP1279" s="584" t="s">
        <v>1888</v>
      </c>
      <c r="CQ1279" s="584" t="s">
        <v>4775</v>
      </c>
      <c r="CR1279" s="584" t="s">
        <v>4775</v>
      </c>
      <c r="CS1279" s="584" t="s">
        <v>2583</v>
      </c>
      <c r="CT1279" s="584" t="s">
        <v>2584</v>
      </c>
      <c r="CU1279" s="584" t="s">
        <v>3080</v>
      </c>
      <c r="CV1279" s="585" t="s">
        <v>3081</v>
      </c>
    </row>
    <row r="1280" spans="91:100" x14ac:dyDescent="0.25">
      <c r="CM1280" s="582"/>
      <c r="CN1280" s="584" t="s">
        <v>4776</v>
      </c>
      <c r="CO1280" s="584" t="s">
        <v>1910</v>
      </c>
      <c r="CP1280" s="584" t="s">
        <v>1888</v>
      </c>
      <c r="CQ1280" s="584" t="s">
        <v>4777</v>
      </c>
      <c r="CR1280" s="584" t="s">
        <v>4777</v>
      </c>
      <c r="CS1280" s="584" t="s">
        <v>1890</v>
      </c>
      <c r="CT1280" s="584" t="s">
        <v>3163</v>
      </c>
      <c r="CU1280" s="584" t="s">
        <v>1892</v>
      </c>
      <c r="CV1280" s="585" t="s">
        <v>1893</v>
      </c>
    </row>
    <row r="1281" spans="91:100" x14ac:dyDescent="0.25">
      <c r="CM1281" s="582"/>
      <c r="CN1281" s="584" t="s">
        <v>4778</v>
      </c>
      <c r="CO1281" s="584" t="s">
        <v>1910</v>
      </c>
      <c r="CP1281" s="584" t="s">
        <v>1888</v>
      </c>
      <c r="CQ1281" s="584" t="s">
        <v>4779</v>
      </c>
      <c r="CR1281" s="584" t="s">
        <v>4779</v>
      </c>
      <c r="CS1281" s="584" t="s">
        <v>1890</v>
      </c>
      <c r="CT1281" s="584" t="s">
        <v>3163</v>
      </c>
      <c r="CU1281" s="584" t="s">
        <v>1892</v>
      </c>
      <c r="CV1281" s="585" t="s">
        <v>1893</v>
      </c>
    </row>
    <row r="1282" spans="91:100" ht="25.5" x14ac:dyDescent="0.25">
      <c r="CM1282" s="582"/>
      <c r="CN1282" s="584" t="s">
        <v>4780</v>
      </c>
      <c r="CO1282" s="584" t="s">
        <v>1910</v>
      </c>
      <c r="CP1282" s="584" t="s">
        <v>1888</v>
      </c>
      <c r="CQ1282" s="584" t="s">
        <v>4781</v>
      </c>
      <c r="CR1282" s="584" t="s">
        <v>4781</v>
      </c>
      <c r="CS1282" s="584" t="s">
        <v>2583</v>
      </c>
      <c r="CT1282" s="584" t="s">
        <v>2584</v>
      </c>
      <c r="CU1282" s="584" t="s">
        <v>3080</v>
      </c>
      <c r="CV1282" s="585" t="s">
        <v>3081</v>
      </c>
    </row>
    <row r="1283" spans="91:100" x14ac:dyDescent="0.25">
      <c r="CM1283" s="582"/>
      <c r="CN1283" s="584" t="s">
        <v>4782</v>
      </c>
      <c r="CO1283" s="584" t="s">
        <v>1910</v>
      </c>
      <c r="CP1283" s="584" t="s">
        <v>1888</v>
      </c>
      <c r="CQ1283" s="584" t="s">
        <v>4783</v>
      </c>
      <c r="CR1283" s="584" t="s">
        <v>4783</v>
      </c>
      <c r="CS1283" s="584" t="s">
        <v>1890</v>
      </c>
      <c r="CT1283" s="584" t="s">
        <v>3163</v>
      </c>
      <c r="CU1283" s="584" t="s">
        <v>1892</v>
      </c>
      <c r="CV1283" s="585" t="s">
        <v>1893</v>
      </c>
    </row>
    <row r="1284" spans="91:100" ht="25.5" x14ac:dyDescent="0.25">
      <c r="CM1284" s="582"/>
      <c r="CN1284" s="584" t="s">
        <v>4784</v>
      </c>
      <c r="CO1284" s="584" t="s">
        <v>1910</v>
      </c>
      <c r="CP1284" s="584" t="s">
        <v>1888</v>
      </c>
      <c r="CQ1284" s="584" t="s">
        <v>4785</v>
      </c>
      <c r="CR1284" s="584" t="s">
        <v>4785</v>
      </c>
      <c r="CS1284" s="584" t="s">
        <v>2583</v>
      </c>
      <c r="CT1284" s="584" t="s">
        <v>2584</v>
      </c>
      <c r="CU1284" s="584" t="s">
        <v>3080</v>
      </c>
      <c r="CV1284" s="585" t="s">
        <v>3081</v>
      </c>
    </row>
    <row r="1285" spans="91:100" ht="25.5" x14ac:dyDescent="0.25">
      <c r="CM1285" s="582"/>
      <c r="CN1285" s="584" t="s">
        <v>4786</v>
      </c>
      <c r="CO1285" s="584" t="s">
        <v>1910</v>
      </c>
      <c r="CP1285" s="584" t="s">
        <v>1888</v>
      </c>
      <c r="CQ1285" s="584" t="s">
        <v>4787</v>
      </c>
      <c r="CR1285" s="584" t="s">
        <v>4787</v>
      </c>
      <c r="CS1285" s="584" t="s">
        <v>2583</v>
      </c>
      <c r="CT1285" s="584" t="s">
        <v>2584</v>
      </c>
      <c r="CU1285" s="584" t="s">
        <v>3080</v>
      </c>
      <c r="CV1285" s="585" t="s">
        <v>3081</v>
      </c>
    </row>
    <row r="1286" spans="91:100" ht="25.5" x14ac:dyDescent="0.25">
      <c r="CM1286" s="582"/>
      <c r="CN1286" s="584" t="s">
        <v>4788</v>
      </c>
      <c r="CO1286" s="584" t="s">
        <v>1910</v>
      </c>
      <c r="CP1286" s="584" t="s">
        <v>1888</v>
      </c>
      <c r="CQ1286" s="584" t="s">
        <v>4789</v>
      </c>
      <c r="CR1286" s="584" t="s">
        <v>4789</v>
      </c>
      <c r="CS1286" s="584" t="s">
        <v>2583</v>
      </c>
      <c r="CT1286" s="584" t="s">
        <v>2584</v>
      </c>
      <c r="CU1286" s="584" t="s">
        <v>3080</v>
      </c>
      <c r="CV1286" s="585" t="s">
        <v>3081</v>
      </c>
    </row>
    <row r="1287" spans="91:100" ht="25.5" x14ac:dyDescent="0.25">
      <c r="CM1287" s="582"/>
      <c r="CN1287" s="584" t="s">
        <v>4790</v>
      </c>
      <c r="CO1287" s="584" t="s">
        <v>1910</v>
      </c>
      <c r="CP1287" s="584" t="s">
        <v>1888</v>
      </c>
      <c r="CQ1287" s="584" t="s">
        <v>4791</v>
      </c>
      <c r="CR1287" s="584" t="s">
        <v>4791</v>
      </c>
      <c r="CS1287" s="584" t="s">
        <v>2583</v>
      </c>
      <c r="CT1287" s="584" t="s">
        <v>2584</v>
      </c>
      <c r="CU1287" s="584" t="s">
        <v>3080</v>
      </c>
      <c r="CV1287" s="585" t="s">
        <v>3081</v>
      </c>
    </row>
    <row r="1288" spans="91:100" ht="25.5" x14ac:dyDescent="0.25">
      <c r="CM1288" s="582"/>
      <c r="CN1288" s="584" t="s">
        <v>4792</v>
      </c>
      <c r="CO1288" s="584" t="s">
        <v>1910</v>
      </c>
      <c r="CP1288" s="584" t="s">
        <v>1888</v>
      </c>
      <c r="CQ1288" s="584" t="s">
        <v>4793</v>
      </c>
      <c r="CR1288" s="584" t="s">
        <v>4793</v>
      </c>
      <c r="CS1288" s="584" t="s">
        <v>2583</v>
      </c>
      <c r="CT1288" s="584" t="s">
        <v>2584</v>
      </c>
      <c r="CU1288" s="584" t="s">
        <v>3080</v>
      </c>
      <c r="CV1288" s="585" t="s">
        <v>3081</v>
      </c>
    </row>
    <row r="1289" spans="91:100" ht="25.5" x14ac:dyDescent="0.25">
      <c r="CM1289" s="582"/>
      <c r="CN1289" s="584" t="s">
        <v>4794</v>
      </c>
      <c r="CO1289" s="584" t="s">
        <v>1910</v>
      </c>
      <c r="CP1289" s="584" t="s">
        <v>1888</v>
      </c>
      <c r="CQ1289" s="584" t="s">
        <v>4795</v>
      </c>
      <c r="CR1289" s="584" t="s">
        <v>4795</v>
      </c>
      <c r="CS1289" s="584" t="s">
        <v>2583</v>
      </c>
      <c r="CT1289" s="584" t="s">
        <v>2584</v>
      </c>
      <c r="CU1289" s="584" t="s">
        <v>3080</v>
      </c>
      <c r="CV1289" s="585" t="s">
        <v>3081</v>
      </c>
    </row>
    <row r="1290" spans="91:100" ht="25.5" x14ac:dyDescent="0.25">
      <c r="CM1290" s="582"/>
      <c r="CN1290" s="584" t="s">
        <v>4796</v>
      </c>
      <c r="CO1290" s="584" t="s">
        <v>1910</v>
      </c>
      <c r="CP1290" s="584" t="s">
        <v>1888</v>
      </c>
      <c r="CQ1290" s="584" t="s">
        <v>4797</v>
      </c>
      <c r="CR1290" s="584" t="s">
        <v>4797</v>
      </c>
      <c r="CS1290" s="584" t="s">
        <v>2583</v>
      </c>
      <c r="CT1290" s="584" t="s">
        <v>2584</v>
      </c>
      <c r="CU1290" s="584" t="s">
        <v>3080</v>
      </c>
      <c r="CV1290" s="585" t="s">
        <v>3081</v>
      </c>
    </row>
    <row r="1291" spans="91:100" ht="25.5" x14ac:dyDescent="0.25">
      <c r="CM1291" s="582"/>
      <c r="CN1291" s="584" t="s">
        <v>4798</v>
      </c>
      <c r="CO1291" s="584" t="s">
        <v>1910</v>
      </c>
      <c r="CP1291" s="584" t="s">
        <v>1888</v>
      </c>
      <c r="CQ1291" s="584" t="s">
        <v>4799</v>
      </c>
      <c r="CR1291" s="584" t="s">
        <v>4799</v>
      </c>
      <c r="CS1291" s="584" t="s">
        <v>2583</v>
      </c>
      <c r="CT1291" s="584" t="s">
        <v>2584</v>
      </c>
      <c r="CU1291" s="584" t="s">
        <v>3080</v>
      </c>
      <c r="CV1291" s="585" t="s">
        <v>3081</v>
      </c>
    </row>
    <row r="1292" spans="91:100" ht="25.5" x14ac:dyDescent="0.25">
      <c r="CM1292" s="582"/>
      <c r="CN1292" s="584" t="s">
        <v>4800</v>
      </c>
      <c r="CO1292" s="584" t="s">
        <v>1910</v>
      </c>
      <c r="CP1292" s="584" t="s">
        <v>1888</v>
      </c>
      <c r="CQ1292" s="584" t="s">
        <v>4801</v>
      </c>
      <c r="CR1292" s="584" t="s">
        <v>4801</v>
      </c>
      <c r="CS1292" s="584" t="s">
        <v>2583</v>
      </c>
      <c r="CT1292" s="584" t="s">
        <v>2584</v>
      </c>
      <c r="CU1292" s="584" t="s">
        <v>3080</v>
      </c>
      <c r="CV1292" s="585" t="s">
        <v>3081</v>
      </c>
    </row>
    <row r="1293" spans="91:100" ht="25.5" x14ac:dyDescent="0.25">
      <c r="CM1293" s="582"/>
      <c r="CN1293" s="584" t="s">
        <v>4802</v>
      </c>
      <c r="CO1293" s="584" t="s">
        <v>1910</v>
      </c>
      <c r="CP1293" s="584" t="s">
        <v>1888</v>
      </c>
      <c r="CQ1293" s="584" t="s">
        <v>4803</v>
      </c>
      <c r="CR1293" s="584" t="s">
        <v>4803</v>
      </c>
      <c r="CS1293" s="584" t="s">
        <v>2583</v>
      </c>
      <c r="CT1293" s="584" t="s">
        <v>2584</v>
      </c>
      <c r="CU1293" s="584" t="s">
        <v>3080</v>
      </c>
      <c r="CV1293" s="585" t="s">
        <v>3081</v>
      </c>
    </row>
    <row r="1294" spans="91:100" ht="25.5" x14ac:dyDescent="0.25">
      <c r="CM1294" s="582"/>
      <c r="CN1294" s="584" t="s">
        <v>4804</v>
      </c>
      <c r="CO1294" s="584" t="s">
        <v>1910</v>
      </c>
      <c r="CP1294" s="584" t="s">
        <v>1888</v>
      </c>
      <c r="CQ1294" s="584" t="s">
        <v>4805</v>
      </c>
      <c r="CR1294" s="584" t="s">
        <v>4805</v>
      </c>
      <c r="CS1294" s="584" t="s">
        <v>2583</v>
      </c>
      <c r="CT1294" s="584" t="s">
        <v>2584</v>
      </c>
      <c r="CU1294" s="584" t="s">
        <v>3080</v>
      </c>
      <c r="CV1294" s="585" t="s">
        <v>3081</v>
      </c>
    </row>
    <row r="1295" spans="91:100" ht="25.5" x14ac:dyDescent="0.25">
      <c r="CM1295" s="582"/>
      <c r="CN1295" s="584" t="s">
        <v>4806</v>
      </c>
      <c r="CO1295" s="584" t="s">
        <v>1910</v>
      </c>
      <c r="CP1295" s="584" t="s">
        <v>1888</v>
      </c>
      <c r="CQ1295" s="584" t="s">
        <v>4807</v>
      </c>
      <c r="CR1295" s="584" t="s">
        <v>4807</v>
      </c>
      <c r="CS1295" s="584" t="s">
        <v>2583</v>
      </c>
      <c r="CT1295" s="584" t="s">
        <v>2584</v>
      </c>
      <c r="CU1295" s="584" t="s">
        <v>3080</v>
      </c>
      <c r="CV1295" s="585" t="s">
        <v>3081</v>
      </c>
    </row>
    <row r="1296" spans="91:100" ht="25.5" x14ac:dyDescent="0.25">
      <c r="CM1296" s="582"/>
      <c r="CN1296" s="584" t="s">
        <v>4808</v>
      </c>
      <c r="CO1296" s="584" t="s">
        <v>1910</v>
      </c>
      <c r="CP1296" s="584" t="s">
        <v>1888</v>
      </c>
      <c r="CQ1296" s="584" t="s">
        <v>4809</v>
      </c>
      <c r="CR1296" s="584" t="s">
        <v>4809</v>
      </c>
      <c r="CS1296" s="584" t="s">
        <v>2583</v>
      </c>
      <c r="CT1296" s="584" t="s">
        <v>2584</v>
      </c>
      <c r="CU1296" s="584" t="s">
        <v>3080</v>
      </c>
      <c r="CV1296" s="585" t="s">
        <v>3081</v>
      </c>
    </row>
    <row r="1297" spans="91:100" ht="25.5" x14ac:dyDescent="0.25">
      <c r="CM1297" s="582"/>
      <c r="CN1297" s="584" t="s">
        <v>4810</v>
      </c>
      <c r="CO1297" s="584" t="s">
        <v>1910</v>
      </c>
      <c r="CP1297" s="584" t="s">
        <v>1888</v>
      </c>
      <c r="CQ1297" s="584" t="s">
        <v>4811</v>
      </c>
      <c r="CR1297" s="584" t="s">
        <v>4811</v>
      </c>
      <c r="CS1297" s="584" t="s">
        <v>2583</v>
      </c>
      <c r="CT1297" s="584" t="s">
        <v>2584</v>
      </c>
      <c r="CU1297" s="584" t="s">
        <v>3080</v>
      </c>
      <c r="CV1297" s="585" t="s">
        <v>3081</v>
      </c>
    </row>
    <row r="1298" spans="91:100" ht="25.5" x14ac:dyDescent="0.25">
      <c r="CM1298" s="582"/>
      <c r="CN1298" s="584" t="s">
        <v>4812</v>
      </c>
      <c r="CO1298" s="584" t="s">
        <v>1910</v>
      </c>
      <c r="CP1298" s="584" t="s">
        <v>1888</v>
      </c>
      <c r="CQ1298" s="584" t="s">
        <v>4813</v>
      </c>
      <c r="CR1298" s="584" t="s">
        <v>4813</v>
      </c>
      <c r="CS1298" s="584" t="s">
        <v>2583</v>
      </c>
      <c r="CT1298" s="584" t="s">
        <v>2584</v>
      </c>
      <c r="CU1298" s="584" t="s">
        <v>3080</v>
      </c>
      <c r="CV1298" s="585" t="s">
        <v>3081</v>
      </c>
    </row>
    <row r="1299" spans="91:100" ht="25.5" x14ac:dyDescent="0.25">
      <c r="CM1299" s="582"/>
      <c r="CN1299" s="584" t="s">
        <v>4814</v>
      </c>
      <c r="CO1299" s="584" t="s">
        <v>1910</v>
      </c>
      <c r="CP1299" s="584" t="s">
        <v>1888</v>
      </c>
      <c r="CQ1299" s="584" t="s">
        <v>4815</v>
      </c>
      <c r="CR1299" s="584" t="s">
        <v>4815</v>
      </c>
      <c r="CS1299" s="584" t="s">
        <v>2583</v>
      </c>
      <c r="CT1299" s="584" t="s">
        <v>2584</v>
      </c>
      <c r="CU1299" s="584" t="s">
        <v>3080</v>
      </c>
      <c r="CV1299" s="585" t="s">
        <v>3081</v>
      </c>
    </row>
    <row r="1300" spans="91:100" ht="25.5" x14ac:dyDescent="0.25">
      <c r="CM1300" s="582"/>
      <c r="CN1300" s="584" t="s">
        <v>4816</v>
      </c>
      <c r="CO1300" s="584" t="s">
        <v>1910</v>
      </c>
      <c r="CP1300" s="584" t="s">
        <v>1888</v>
      </c>
      <c r="CQ1300" s="584" t="s">
        <v>4817</v>
      </c>
      <c r="CR1300" s="584" t="s">
        <v>4817</v>
      </c>
      <c r="CS1300" s="584" t="s">
        <v>2583</v>
      </c>
      <c r="CT1300" s="584" t="s">
        <v>2584</v>
      </c>
      <c r="CU1300" s="584" t="s">
        <v>3080</v>
      </c>
      <c r="CV1300" s="585" t="s">
        <v>3081</v>
      </c>
    </row>
    <row r="1301" spans="91:100" ht="25.5" x14ac:dyDescent="0.25">
      <c r="CM1301" s="582"/>
      <c r="CN1301" s="584" t="s">
        <v>4818</v>
      </c>
      <c r="CO1301" s="584" t="s">
        <v>1910</v>
      </c>
      <c r="CP1301" s="584" t="s">
        <v>1888</v>
      </c>
      <c r="CQ1301" s="584" t="s">
        <v>4819</v>
      </c>
      <c r="CR1301" s="584" t="s">
        <v>4819</v>
      </c>
      <c r="CS1301" s="584" t="s">
        <v>2583</v>
      </c>
      <c r="CT1301" s="584" t="s">
        <v>2584</v>
      </c>
      <c r="CU1301" s="584" t="s">
        <v>3080</v>
      </c>
      <c r="CV1301" s="585" t="s">
        <v>3081</v>
      </c>
    </row>
    <row r="1302" spans="91:100" ht="25.5" x14ac:dyDescent="0.25">
      <c r="CM1302" s="582"/>
      <c r="CN1302" s="584" t="s">
        <v>4820</v>
      </c>
      <c r="CO1302" s="584" t="s">
        <v>1910</v>
      </c>
      <c r="CP1302" s="584" t="s">
        <v>1888</v>
      </c>
      <c r="CQ1302" s="584" t="s">
        <v>4821</v>
      </c>
      <c r="CR1302" s="584" t="s">
        <v>4821</v>
      </c>
      <c r="CS1302" s="584" t="s">
        <v>2583</v>
      </c>
      <c r="CT1302" s="584" t="s">
        <v>2584</v>
      </c>
      <c r="CU1302" s="584" t="s">
        <v>3080</v>
      </c>
      <c r="CV1302" s="585" t="s">
        <v>3081</v>
      </c>
    </row>
    <row r="1303" spans="91:100" ht="25.5" x14ac:dyDescent="0.25">
      <c r="CM1303" s="582"/>
      <c r="CN1303" s="584" t="s">
        <v>4822</v>
      </c>
      <c r="CO1303" s="584" t="s">
        <v>1910</v>
      </c>
      <c r="CP1303" s="584" t="s">
        <v>1888</v>
      </c>
      <c r="CQ1303" s="584" t="s">
        <v>4823</v>
      </c>
      <c r="CR1303" s="584" t="s">
        <v>4823</v>
      </c>
      <c r="CS1303" s="584" t="s">
        <v>2583</v>
      </c>
      <c r="CT1303" s="584" t="s">
        <v>2584</v>
      </c>
      <c r="CU1303" s="584" t="s">
        <v>3080</v>
      </c>
      <c r="CV1303" s="585" t="s">
        <v>3081</v>
      </c>
    </row>
    <row r="1304" spans="91:100" ht="25.5" x14ac:dyDescent="0.25">
      <c r="CM1304" s="582"/>
      <c r="CN1304" s="584" t="s">
        <v>4824</v>
      </c>
      <c r="CO1304" s="584" t="s">
        <v>1910</v>
      </c>
      <c r="CP1304" s="584" t="s">
        <v>1888</v>
      </c>
      <c r="CQ1304" s="584" t="s">
        <v>4825</v>
      </c>
      <c r="CR1304" s="584" t="s">
        <v>4825</v>
      </c>
      <c r="CS1304" s="584" t="s">
        <v>2583</v>
      </c>
      <c r="CT1304" s="584" t="s">
        <v>2584</v>
      </c>
      <c r="CU1304" s="584" t="s">
        <v>3080</v>
      </c>
      <c r="CV1304" s="585" t="s">
        <v>3081</v>
      </c>
    </row>
    <row r="1305" spans="91:100" ht="25.5" x14ac:dyDescent="0.25">
      <c r="CM1305" s="582"/>
      <c r="CN1305" s="584" t="s">
        <v>4826</v>
      </c>
      <c r="CO1305" s="584" t="s">
        <v>1910</v>
      </c>
      <c r="CP1305" s="584" t="s">
        <v>1888</v>
      </c>
      <c r="CQ1305" s="584" t="s">
        <v>4827</v>
      </c>
      <c r="CR1305" s="584" t="s">
        <v>4827</v>
      </c>
      <c r="CS1305" s="584" t="s">
        <v>2583</v>
      </c>
      <c r="CT1305" s="584" t="s">
        <v>2584</v>
      </c>
      <c r="CU1305" s="584" t="s">
        <v>3080</v>
      </c>
      <c r="CV1305" s="585" t="s">
        <v>3081</v>
      </c>
    </row>
    <row r="1306" spans="91:100" ht="25.5" x14ac:dyDescent="0.25">
      <c r="CM1306" s="582"/>
      <c r="CN1306" s="584" t="s">
        <v>4828</v>
      </c>
      <c r="CO1306" s="584" t="s">
        <v>1910</v>
      </c>
      <c r="CP1306" s="584" t="s">
        <v>1888</v>
      </c>
      <c r="CQ1306" s="584" t="s">
        <v>4829</v>
      </c>
      <c r="CR1306" s="584" t="s">
        <v>4829</v>
      </c>
      <c r="CS1306" s="584" t="s">
        <v>2583</v>
      </c>
      <c r="CT1306" s="584" t="s">
        <v>2584</v>
      </c>
      <c r="CU1306" s="584" t="s">
        <v>3080</v>
      </c>
      <c r="CV1306" s="585" t="s">
        <v>3081</v>
      </c>
    </row>
    <row r="1307" spans="91:100" ht="25.5" x14ac:dyDescent="0.25">
      <c r="CM1307" s="582"/>
      <c r="CN1307" s="584" t="s">
        <v>4830</v>
      </c>
      <c r="CO1307" s="584" t="s">
        <v>1910</v>
      </c>
      <c r="CP1307" s="584" t="s">
        <v>1888</v>
      </c>
      <c r="CQ1307" s="584" t="s">
        <v>4831</v>
      </c>
      <c r="CR1307" s="584" t="s">
        <v>4831</v>
      </c>
      <c r="CS1307" s="584" t="s">
        <v>2583</v>
      </c>
      <c r="CT1307" s="584" t="s">
        <v>2584</v>
      </c>
      <c r="CU1307" s="584" t="s">
        <v>3080</v>
      </c>
      <c r="CV1307" s="585" t="s">
        <v>3081</v>
      </c>
    </row>
    <row r="1308" spans="91:100" ht="25.5" x14ac:dyDescent="0.25">
      <c r="CM1308" s="582"/>
      <c r="CN1308" s="584" t="s">
        <v>4832</v>
      </c>
      <c r="CO1308" s="584" t="s">
        <v>1910</v>
      </c>
      <c r="CP1308" s="584" t="s">
        <v>1888</v>
      </c>
      <c r="CQ1308" s="584" t="s">
        <v>4833</v>
      </c>
      <c r="CR1308" s="584" t="s">
        <v>4833</v>
      </c>
      <c r="CS1308" s="584" t="s">
        <v>2583</v>
      </c>
      <c r="CT1308" s="584" t="s">
        <v>2584</v>
      </c>
      <c r="CU1308" s="584" t="s">
        <v>3080</v>
      </c>
      <c r="CV1308" s="585" t="s">
        <v>3081</v>
      </c>
    </row>
    <row r="1309" spans="91:100" ht="25.5" x14ac:dyDescent="0.25">
      <c r="CM1309" s="582"/>
      <c r="CN1309" s="584" t="s">
        <v>4834</v>
      </c>
      <c r="CO1309" s="584" t="s">
        <v>1910</v>
      </c>
      <c r="CP1309" s="584" t="s">
        <v>1888</v>
      </c>
      <c r="CQ1309" s="584" t="s">
        <v>4835</v>
      </c>
      <c r="CR1309" s="584" t="s">
        <v>4835</v>
      </c>
      <c r="CS1309" s="584" t="s">
        <v>2583</v>
      </c>
      <c r="CT1309" s="584" t="s">
        <v>2584</v>
      </c>
      <c r="CU1309" s="584" t="s">
        <v>3080</v>
      </c>
      <c r="CV1309" s="585" t="s">
        <v>3081</v>
      </c>
    </row>
    <row r="1310" spans="91:100" ht="25.5" x14ac:dyDescent="0.25">
      <c r="CM1310" s="582"/>
      <c r="CN1310" s="584" t="s">
        <v>4836</v>
      </c>
      <c r="CO1310" s="584" t="s">
        <v>1910</v>
      </c>
      <c r="CP1310" s="584" t="s">
        <v>1888</v>
      </c>
      <c r="CQ1310" s="584" t="s">
        <v>4837</v>
      </c>
      <c r="CR1310" s="584" t="s">
        <v>4837</v>
      </c>
      <c r="CS1310" s="584" t="s">
        <v>2583</v>
      </c>
      <c r="CT1310" s="584" t="s">
        <v>2584</v>
      </c>
      <c r="CU1310" s="584" t="s">
        <v>3080</v>
      </c>
      <c r="CV1310" s="585" t="s">
        <v>3081</v>
      </c>
    </row>
    <row r="1311" spans="91:100" ht="25.5" x14ac:dyDescent="0.25">
      <c r="CM1311" s="582"/>
      <c r="CN1311" s="584" t="s">
        <v>4838</v>
      </c>
      <c r="CO1311" s="584" t="s">
        <v>1910</v>
      </c>
      <c r="CP1311" s="584" t="s">
        <v>1888</v>
      </c>
      <c r="CQ1311" s="584" t="s">
        <v>4839</v>
      </c>
      <c r="CR1311" s="584" t="s">
        <v>4839</v>
      </c>
      <c r="CS1311" s="584" t="s">
        <v>2583</v>
      </c>
      <c r="CT1311" s="584" t="s">
        <v>2584</v>
      </c>
      <c r="CU1311" s="584" t="s">
        <v>3080</v>
      </c>
      <c r="CV1311" s="585" t="s">
        <v>3081</v>
      </c>
    </row>
    <row r="1312" spans="91:100" x14ac:dyDescent="0.25">
      <c r="CM1312" s="582"/>
      <c r="CN1312" s="584" t="s">
        <v>4840</v>
      </c>
      <c r="CO1312" s="584" t="s">
        <v>1910</v>
      </c>
      <c r="CP1312" s="584" t="s">
        <v>1888</v>
      </c>
      <c r="CQ1312" s="584" t="s">
        <v>4841</v>
      </c>
      <c r="CR1312" s="584" t="s">
        <v>4841</v>
      </c>
      <c r="CS1312" s="584" t="s">
        <v>1978</v>
      </c>
      <c r="CT1312" s="584" t="s">
        <v>1979</v>
      </c>
      <c r="CU1312" s="584" t="s">
        <v>1892</v>
      </c>
      <c r="CV1312" s="585" t="s">
        <v>1980</v>
      </c>
    </row>
    <row r="1313" spans="91:100" ht="25.5" x14ac:dyDescent="0.25">
      <c r="CM1313" s="582"/>
      <c r="CN1313" s="584" t="s">
        <v>4842</v>
      </c>
      <c r="CO1313" s="584" t="s">
        <v>1910</v>
      </c>
      <c r="CP1313" s="584" t="s">
        <v>1888</v>
      </c>
      <c r="CQ1313" s="584" t="s">
        <v>4843</v>
      </c>
      <c r="CR1313" s="584" t="s">
        <v>4843</v>
      </c>
      <c r="CS1313" s="584" t="s">
        <v>2583</v>
      </c>
      <c r="CT1313" s="584" t="s">
        <v>2584</v>
      </c>
      <c r="CU1313" s="584" t="s">
        <v>3080</v>
      </c>
      <c r="CV1313" s="585" t="s">
        <v>3081</v>
      </c>
    </row>
    <row r="1314" spans="91:100" ht="25.5" x14ac:dyDescent="0.25">
      <c r="CM1314" s="582"/>
      <c r="CN1314" s="584" t="s">
        <v>4844</v>
      </c>
      <c r="CO1314" s="584" t="s">
        <v>1910</v>
      </c>
      <c r="CP1314" s="584" t="s">
        <v>1888</v>
      </c>
      <c r="CQ1314" s="584" t="s">
        <v>4845</v>
      </c>
      <c r="CR1314" s="584" t="s">
        <v>4845</v>
      </c>
      <c r="CS1314" s="584" t="s">
        <v>2583</v>
      </c>
      <c r="CT1314" s="584" t="s">
        <v>2584</v>
      </c>
      <c r="CU1314" s="584" t="s">
        <v>3080</v>
      </c>
      <c r="CV1314" s="585" t="s">
        <v>3081</v>
      </c>
    </row>
    <row r="1315" spans="91:100" x14ac:dyDescent="0.25">
      <c r="CM1315" s="582"/>
      <c r="CN1315" s="584" t="s">
        <v>4846</v>
      </c>
      <c r="CO1315" s="584" t="s">
        <v>1910</v>
      </c>
      <c r="CP1315" s="584" t="s">
        <v>1888</v>
      </c>
      <c r="CQ1315" s="584" t="s">
        <v>4847</v>
      </c>
      <c r="CR1315" s="584" t="s">
        <v>4847</v>
      </c>
      <c r="CS1315" s="584" t="s">
        <v>1978</v>
      </c>
      <c r="CT1315" s="584" t="s">
        <v>1979</v>
      </c>
      <c r="CU1315" s="584" t="s">
        <v>1892</v>
      </c>
      <c r="CV1315" s="585" t="s">
        <v>1980</v>
      </c>
    </row>
    <row r="1316" spans="91:100" ht="25.5" x14ac:dyDescent="0.25">
      <c r="CM1316" s="582"/>
      <c r="CN1316" s="584" t="s">
        <v>4848</v>
      </c>
      <c r="CO1316" s="584" t="s">
        <v>1910</v>
      </c>
      <c r="CP1316" s="584" t="s">
        <v>1888</v>
      </c>
      <c r="CQ1316" s="584" t="s">
        <v>4849</v>
      </c>
      <c r="CR1316" s="584" t="s">
        <v>4849</v>
      </c>
      <c r="CS1316" s="584" t="s">
        <v>2583</v>
      </c>
      <c r="CT1316" s="584" t="s">
        <v>2584</v>
      </c>
      <c r="CU1316" s="584" t="s">
        <v>3080</v>
      </c>
      <c r="CV1316" s="585" t="s">
        <v>3081</v>
      </c>
    </row>
    <row r="1317" spans="91:100" ht="25.5" x14ac:dyDescent="0.25">
      <c r="CM1317" s="582"/>
      <c r="CN1317" s="584" t="s">
        <v>4850</v>
      </c>
      <c r="CO1317" s="584" t="s">
        <v>1910</v>
      </c>
      <c r="CP1317" s="584" t="s">
        <v>1888</v>
      </c>
      <c r="CQ1317" s="584" t="s">
        <v>4851</v>
      </c>
      <c r="CR1317" s="584" t="s">
        <v>4851</v>
      </c>
      <c r="CS1317" s="584" t="s">
        <v>2583</v>
      </c>
      <c r="CT1317" s="584" t="s">
        <v>2584</v>
      </c>
      <c r="CU1317" s="584" t="s">
        <v>3080</v>
      </c>
      <c r="CV1317" s="585" t="s">
        <v>3081</v>
      </c>
    </row>
    <row r="1318" spans="91:100" ht="25.5" x14ac:dyDescent="0.25">
      <c r="CM1318" s="582"/>
      <c r="CN1318" s="584" t="s">
        <v>4852</v>
      </c>
      <c r="CO1318" s="584" t="s">
        <v>1910</v>
      </c>
      <c r="CP1318" s="584" t="s">
        <v>1888</v>
      </c>
      <c r="CQ1318" s="584" t="s">
        <v>4853</v>
      </c>
      <c r="CR1318" s="584" t="s">
        <v>4853</v>
      </c>
      <c r="CS1318" s="584" t="s">
        <v>2583</v>
      </c>
      <c r="CT1318" s="584" t="s">
        <v>2584</v>
      </c>
      <c r="CU1318" s="584" t="s">
        <v>3080</v>
      </c>
      <c r="CV1318" s="585" t="s">
        <v>3081</v>
      </c>
    </row>
    <row r="1319" spans="91:100" ht="25.5" x14ac:dyDescent="0.25">
      <c r="CM1319" s="582"/>
      <c r="CN1319" s="584" t="s">
        <v>4854</v>
      </c>
      <c r="CO1319" s="584" t="s">
        <v>1910</v>
      </c>
      <c r="CP1319" s="584" t="s">
        <v>1888</v>
      </c>
      <c r="CQ1319" s="584" t="s">
        <v>4855</v>
      </c>
      <c r="CR1319" s="584" t="s">
        <v>4855</v>
      </c>
      <c r="CS1319" s="584" t="s">
        <v>2583</v>
      </c>
      <c r="CT1319" s="584" t="s">
        <v>2584</v>
      </c>
      <c r="CU1319" s="584" t="s">
        <v>3080</v>
      </c>
      <c r="CV1319" s="585" t="s">
        <v>3081</v>
      </c>
    </row>
    <row r="1320" spans="91:100" ht="25.5" x14ac:dyDescent="0.25">
      <c r="CM1320" s="582"/>
      <c r="CN1320" s="584" t="s">
        <v>4856</v>
      </c>
      <c r="CO1320" s="584" t="s">
        <v>1910</v>
      </c>
      <c r="CP1320" s="584" t="s">
        <v>1888</v>
      </c>
      <c r="CQ1320" s="584" t="s">
        <v>4857</v>
      </c>
      <c r="CR1320" s="584" t="s">
        <v>4857</v>
      </c>
      <c r="CS1320" s="584" t="s">
        <v>2583</v>
      </c>
      <c r="CT1320" s="584" t="s">
        <v>2584</v>
      </c>
      <c r="CU1320" s="584" t="s">
        <v>3080</v>
      </c>
      <c r="CV1320" s="585" t="s">
        <v>3081</v>
      </c>
    </row>
    <row r="1321" spans="91:100" ht="25.5" x14ac:dyDescent="0.25">
      <c r="CM1321" s="582"/>
      <c r="CN1321" s="584" t="s">
        <v>4858</v>
      </c>
      <c r="CO1321" s="584" t="s">
        <v>1910</v>
      </c>
      <c r="CP1321" s="584" t="s">
        <v>1888</v>
      </c>
      <c r="CQ1321" s="584" t="s">
        <v>4859</v>
      </c>
      <c r="CR1321" s="584" t="s">
        <v>4859</v>
      </c>
      <c r="CS1321" s="584" t="s">
        <v>2583</v>
      </c>
      <c r="CT1321" s="584" t="s">
        <v>2584</v>
      </c>
      <c r="CU1321" s="584" t="s">
        <v>3080</v>
      </c>
      <c r="CV1321" s="585" t="s">
        <v>3081</v>
      </c>
    </row>
    <row r="1322" spans="91:100" ht="25.5" x14ac:dyDescent="0.25">
      <c r="CM1322" s="582"/>
      <c r="CN1322" s="584" t="s">
        <v>4860</v>
      </c>
      <c r="CO1322" s="584" t="s">
        <v>1910</v>
      </c>
      <c r="CP1322" s="584" t="s">
        <v>1888</v>
      </c>
      <c r="CQ1322" s="584" t="s">
        <v>4861</v>
      </c>
      <c r="CR1322" s="584" t="s">
        <v>4861</v>
      </c>
      <c r="CS1322" s="584" t="s">
        <v>2583</v>
      </c>
      <c r="CT1322" s="584" t="s">
        <v>2584</v>
      </c>
      <c r="CU1322" s="584" t="s">
        <v>3080</v>
      </c>
      <c r="CV1322" s="585" t="s">
        <v>3081</v>
      </c>
    </row>
    <row r="1323" spans="91:100" ht="25.5" x14ac:dyDescent="0.25">
      <c r="CM1323" s="582"/>
      <c r="CN1323" s="584" t="s">
        <v>4862</v>
      </c>
      <c r="CO1323" s="584" t="s">
        <v>1910</v>
      </c>
      <c r="CP1323" s="584" t="s">
        <v>1888</v>
      </c>
      <c r="CQ1323" s="584" t="s">
        <v>4863</v>
      </c>
      <c r="CR1323" s="584" t="s">
        <v>4863</v>
      </c>
      <c r="CS1323" s="584" t="s">
        <v>2583</v>
      </c>
      <c r="CT1323" s="584" t="s">
        <v>2584</v>
      </c>
      <c r="CU1323" s="584" t="s">
        <v>3080</v>
      </c>
      <c r="CV1323" s="585" t="s">
        <v>3081</v>
      </c>
    </row>
    <row r="1324" spans="91:100" ht="25.5" x14ac:dyDescent="0.25">
      <c r="CM1324" s="582"/>
      <c r="CN1324" s="584" t="s">
        <v>4864</v>
      </c>
      <c r="CO1324" s="584" t="s">
        <v>1910</v>
      </c>
      <c r="CP1324" s="584" t="s">
        <v>1888</v>
      </c>
      <c r="CQ1324" s="584" t="s">
        <v>4865</v>
      </c>
      <c r="CR1324" s="584" t="s">
        <v>4865</v>
      </c>
      <c r="CS1324" s="584" t="s">
        <v>2583</v>
      </c>
      <c r="CT1324" s="584" t="s">
        <v>2584</v>
      </c>
      <c r="CU1324" s="584" t="s">
        <v>3080</v>
      </c>
      <c r="CV1324" s="585" t="s">
        <v>3081</v>
      </c>
    </row>
    <row r="1325" spans="91:100" ht="25.5" x14ac:dyDescent="0.25">
      <c r="CM1325" s="582"/>
      <c r="CN1325" s="584" t="s">
        <v>4866</v>
      </c>
      <c r="CO1325" s="584" t="s">
        <v>1910</v>
      </c>
      <c r="CP1325" s="584" t="s">
        <v>1888</v>
      </c>
      <c r="CQ1325" s="584" t="s">
        <v>4867</v>
      </c>
      <c r="CR1325" s="584" t="s">
        <v>4867</v>
      </c>
      <c r="CS1325" s="584" t="s">
        <v>2583</v>
      </c>
      <c r="CT1325" s="584" t="s">
        <v>2584</v>
      </c>
      <c r="CU1325" s="584" t="s">
        <v>3080</v>
      </c>
      <c r="CV1325" s="585" t="s">
        <v>3081</v>
      </c>
    </row>
    <row r="1326" spans="91:100" ht="25.5" x14ac:dyDescent="0.25">
      <c r="CM1326" s="582"/>
      <c r="CN1326" s="584" t="s">
        <v>4868</v>
      </c>
      <c r="CO1326" s="584" t="s">
        <v>1910</v>
      </c>
      <c r="CP1326" s="584" t="s">
        <v>1888</v>
      </c>
      <c r="CQ1326" s="584" t="s">
        <v>4869</v>
      </c>
      <c r="CR1326" s="584" t="s">
        <v>4869</v>
      </c>
      <c r="CS1326" s="584" t="s">
        <v>2583</v>
      </c>
      <c r="CT1326" s="584" t="s">
        <v>2584</v>
      </c>
      <c r="CU1326" s="584" t="s">
        <v>3080</v>
      </c>
      <c r="CV1326" s="585" t="s">
        <v>3081</v>
      </c>
    </row>
    <row r="1327" spans="91:100" ht="25.5" x14ac:dyDescent="0.25">
      <c r="CM1327" s="582"/>
      <c r="CN1327" s="584" t="s">
        <v>4870</v>
      </c>
      <c r="CO1327" s="584" t="s">
        <v>1910</v>
      </c>
      <c r="CP1327" s="584" t="s">
        <v>1888</v>
      </c>
      <c r="CQ1327" s="584" t="s">
        <v>4871</v>
      </c>
      <c r="CR1327" s="584" t="s">
        <v>4871</v>
      </c>
      <c r="CS1327" s="584" t="s">
        <v>2583</v>
      </c>
      <c r="CT1327" s="584" t="s">
        <v>2584</v>
      </c>
      <c r="CU1327" s="584" t="s">
        <v>3080</v>
      </c>
      <c r="CV1327" s="585" t="s">
        <v>3081</v>
      </c>
    </row>
    <row r="1328" spans="91:100" ht="25.5" x14ac:dyDescent="0.25">
      <c r="CM1328" s="582"/>
      <c r="CN1328" s="584" t="s">
        <v>4872</v>
      </c>
      <c r="CO1328" s="584" t="s">
        <v>1910</v>
      </c>
      <c r="CP1328" s="584" t="s">
        <v>1888</v>
      </c>
      <c r="CQ1328" s="584" t="s">
        <v>4873</v>
      </c>
      <c r="CR1328" s="584" t="s">
        <v>4873</v>
      </c>
      <c r="CS1328" s="584" t="s">
        <v>2583</v>
      </c>
      <c r="CT1328" s="584" t="s">
        <v>2584</v>
      </c>
      <c r="CU1328" s="584" t="s">
        <v>3080</v>
      </c>
      <c r="CV1328" s="585" t="s">
        <v>3081</v>
      </c>
    </row>
    <row r="1329" spans="91:100" ht="25.5" x14ac:dyDescent="0.25">
      <c r="CM1329" s="582"/>
      <c r="CN1329" s="584" t="s">
        <v>4874</v>
      </c>
      <c r="CO1329" s="584" t="s">
        <v>1910</v>
      </c>
      <c r="CP1329" s="584" t="s">
        <v>1888</v>
      </c>
      <c r="CQ1329" s="584" t="s">
        <v>4875</v>
      </c>
      <c r="CR1329" s="584" t="s">
        <v>4875</v>
      </c>
      <c r="CS1329" s="584" t="s">
        <v>2583</v>
      </c>
      <c r="CT1329" s="584" t="s">
        <v>2584</v>
      </c>
      <c r="CU1329" s="584" t="s">
        <v>3080</v>
      </c>
      <c r="CV1329" s="585" t="s">
        <v>3081</v>
      </c>
    </row>
    <row r="1330" spans="91:100" ht="25.5" x14ac:dyDescent="0.25">
      <c r="CM1330" s="582"/>
      <c r="CN1330" s="584" t="s">
        <v>4876</v>
      </c>
      <c r="CO1330" s="584" t="s">
        <v>1910</v>
      </c>
      <c r="CP1330" s="584" t="s">
        <v>1888</v>
      </c>
      <c r="CQ1330" s="584" t="s">
        <v>4877</v>
      </c>
      <c r="CR1330" s="584" t="s">
        <v>4877</v>
      </c>
      <c r="CS1330" s="584" t="s">
        <v>2583</v>
      </c>
      <c r="CT1330" s="584" t="s">
        <v>2584</v>
      </c>
      <c r="CU1330" s="584" t="s">
        <v>3080</v>
      </c>
      <c r="CV1330" s="585" t="s">
        <v>3081</v>
      </c>
    </row>
    <row r="1331" spans="91:100" ht="25.5" x14ac:dyDescent="0.25">
      <c r="CM1331" s="582"/>
      <c r="CN1331" s="584" t="s">
        <v>4878</v>
      </c>
      <c r="CO1331" s="584" t="s">
        <v>1910</v>
      </c>
      <c r="CP1331" s="584" t="s">
        <v>1888</v>
      </c>
      <c r="CQ1331" s="584" t="s">
        <v>4879</v>
      </c>
      <c r="CR1331" s="584" t="s">
        <v>4879</v>
      </c>
      <c r="CS1331" s="584" t="s">
        <v>2583</v>
      </c>
      <c r="CT1331" s="584" t="s">
        <v>2584</v>
      </c>
      <c r="CU1331" s="584" t="s">
        <v>3080</v>
      </c>
      <c r="CV1331" s="585" t="s">
        <v>3081</v>
      </c>
    </row>
    <row r="1332" spans="91:100" ht="25.5" x14ac:dyDescent="0.25">
      <c r="CM1332" s="582"/>
      <c r="CN1332" s="584" t="s">
        <v>4880</v>
      </c>
      <c r="CO1332" s="584" t="s">
        <v>1910</v>
      </c>
      <c r="CP1332" s="584" t="s">
        <v>1888</v>
      </c>
      <c r="CQ1332" s="584" t="s">
        <v>4881</v>
      </c>
      <c r="CR1332" s="584" t="s">
        <v>4881</v>
      </c>
      <c r="CS1332" s="584" t="s">
        <v>2583</v>
      </c>
      <c r="CT1332" s="584" t="s">
        <v>2584</v>
      </c>
      <c r="CU1332" s="584" t="s">
        <v>3080</v>
      </c>
      <c r="CV1332" s="585" t="s">
        <v>3081</v>
      </c>
    </row>
    <row r="1333" spans="91:100" ht="25.5" x14ac:dyDescent="0.25">
      <c r="CM1333" s="582"/>
      <c r="CN1333" s="584" t="s">
        <v>4882</v>
      </c>
      <c r="CO1333" s="584" t="s">
        <v>1910</v>
      </c>
      <c r="CP1333" s="584" t="s">
        <v>1888</v>
      </c>
      <c r="CQ1333" s="584" t="s">
        <v>4883</v>
      </c>
      <c r="CR1333" s="584" t="s">
        <v>4883</v>
      </c>
      <c r="CS1333" s="584" t="s">
        <v>2583</v>
      </c>
      <c r="CT1333" s="584" t="s">
        <v>2584</v>
      </c>
      <c r="CU1333" s="584" t="s">
        <v>3080</v>
      </c>
      <c r="CV1333" s="585" t="s">
        <v>3081</v>
      </c>
    </row>
    <row r="1334" spans="91:100" ht="25.5" x14ac:dyDescent="0.25">
      <c r="CM1334" s="582"/>
      <c r="CN1334" s="584" t="s">
        <v>4884</v>
      </c>
      <c r="CO1334" s="584" t="s">
        <v>1910</v>
      </c>
      <c r="CP1334" s="584" t="s">
        <v>1888</v>
      </c>
      <c r="CQ1334" s="584" t="s">
        <v>4885</v>
      </c>
      <c r="CR1334" s="584" t="s">
        <v>4885</v>
      </c>
      <c r="CS1334" s="584" t="s">
        <v>2583</v>
      </c>
      <c r="CT1334" s="584" t="s">
        <v>2584</v>
      </c>
      <c r="CU1334" s="584" t="s">
        <v>3080</v>
      </c>
      <c r="CV1334" s="585" t="s">
        <v>3081</v>
      </c>
    </row>
    <row r="1335" spans="91:100" ht="25.5" x14ac:dyDescent="0.25">
      <c r="CM1335" s="582"/>
      <c r="CN1335" s="584" t="s">
        <v>4886</v>
      </c>
      <c r="CO1335" s="584" t="s">
        <v>1910</v>
      </c>
      <c r="CP1335" s="584" t="s">
        <v>1888</v>
      </c>
      <c r="CQ1335" s="584" t="s">
        <v>4887</v>
      </c>
      <c r="CR1335" s="584" t="s">
        <v>4887</v>
      </c>
      <c r="CS1335" s="584" t="s">
        <v>2583</v>
      </c>
      <c r="CT1335" s="584" t="s">
        <v>2584</v>
      </c>
      <c r="CU1335" s="584" t="s">
        <v>3080</v>
      </c>
      <c r="CV1335" s="585" t="s">
        <v>3081</v>
      </c>
    </row>
    <row r="1336" spans="91:100" ht="25.5" x14ac:dyDescent="0.25">
      <c r="CM1336" s="582"/>
      <c r="CN1336" s="584" t="s">
        <v>4888</v>
      </c>
      <c r="CO1336" s="584" t="s">
        <v>1910</v>
      </c>
      <c r="CP1336" s="584" t="s">
        <v>1888</v>
      </c>
      <c r="CQ1336" s="584" t="s">
        <v>4889</v>
      </c>
      <c r="CR1336" s="584" t="s">
        <v>4889</v>
      </c>
      <c r="CS1336" s="584" t="s">
        <v>2583</v>
      </c>
      <c r="CT1336" s="584" t="s">
        <v>2584</v>
      </c>
      <c r="CU1336" s="584" t="s">
        <v>3080</v>
      </c>
      <c r="CV1336" s="585" t="s">
        <v>3081</v>
      </c>
    </row>
    <row r="1337" spans="91:100" ht="25.5" x14ac:dyDescent="0.25">
      <c r="CM1337" s="582"/>
      <c r="CN1337" s="584" t="s">
        <v>4890</v>
      </c>
      <c r="CO1337" s="584" t="s">
        <v>1910</v>
      </c>
      <c r="CP1337" s="584" t="s">
        <v>1888</v>
      </c>
      <c r="CQ1337" s="584" t="s">
        <v>4891</v>
      </c>
      <c r="CR1337" s="584" t="s">
        <v>4891</v>
      </c>
      <c r="CS1337" s="584" t="s">
        <v>2583</v>
      </c>
      <c r="CT1337" s="584" t="s">
        <v>2584</v>
      </c>
      <c r="CU1337" s="584" t="s">
        <v>3080</v>
      </c>
      <c r="CV1337" s="585" t="s">
        <v>3081</v>
      </c>
    </row>
    <row r="1338" spans="91:100" ht="25.5" x14ac:dyDescent="0.25">
      <c r="CM1338" s="582"/>
      <c r="CN1338" s="584" t="s">
        <v>4892</v>
      </c>
      <c r="CO1338" s="584" t="s">
        <v>1910</v>
      </c>
      <c r="CP1338" s="584" t="s">
        <v>1888</v>
      </c>
      <c r="CQ1338" s="584" t="s">
        <v>4893</v>
      </c>
      <c r="CR1338" s="584" t="s">
        <v>4893</v>
      </c>
      <c r="CS1338" s="584" t="s">
        <v>2583</v>
      </c>
      <c r="CT1338" s="584" t="s">
        <v>2584</v>
      </c>
      <c r="CU1338" s="584" t="s">
        <v>3080</v>
      </c>
      <c r="CV1338" s="585" t="s">
        <v>3081</v>
      </c>
    </row>
    <row r="1339" spans="91:100" ht="25.5" x14ac:dyDescent="0.25">
      <c r="CM1339" s="582"/>
      <c r="CN1339" s="584" t="s">
        <v>4894</v>
      </c>
      <c r="CO1339" s="584" t="s">
        <v>1910</v>
      </c>
      <c r="CP1339" s="584" t="s">
        <v>1888</v>
      </c>
      <c r="CQ1339" s="584" t="s">
        <v>4895</v>
      </c>
      <c r="CR1339" s="584" t="s">
        <v>4895</v>
      </c>
      <c r="CS1339" s="584" t="s">
        <v>2583</v>
      </c>
      <c r="CT1339" s="584" t="s">
        <v>2584</v>
      </c>
      <c r="CU1339" s="584" t="s">
        <v>3080</v>
      </c>
      <c r="CV1339" s="585" t="s">
        <v>3081</v>
      </c>
    </row>
    <row r="1340" spans="91:100" ht="25.5" x14ac:dyDescent="0.25">
      <c r="CM1340" s="582"/>
      <c r="CN1340" s="584" t="s">
        <v>4896</v>
      </c>
      <c r="CO1340" s="584" t="s">
        <v>1910</v>
      </c>
      <c r="CP1340" s="584" t="s">
        <v>1888</v>
      </c>
      <c r="CQ1340" s="584" t="s">
        <v>4897</v>
      </c>
      <c r="CR1340" s="584" t="s">
        <v>4897</v>
      </c>
      <c r="CS1340" s="584" t="s">
        <v>2583</v>
      </c>
      <c r="CT1340" s="584" t="s">
        <v>2584</v>
      </c>
      <c r="CU1340" s="584" t="s">
        <v>3080</v>
      </c>
      <c r="CV1340" s="585" t="s">
        <v>3081</v>
      </c>
    </row>
    <row r="1341" spans="91:100" ht="25.5" x14ac:dyDescent="0.25">
      <c r="CM1341" s="582"/>
      <c r="CN1341" s="584" t="s">
        <v>4898</v>
      </c>
      <c r="CO1341" s="584" t="s">
        <v>1910</v>
      </c>
      <c r="CP1341" s="584" t="s">
        <v>1888</v>
      </c>
      <c r="CQ1341" s="584" t="s">
        <v>4899</v>
      </c>
      <c r="CR1341" s="584" t="s">
        <v>4899</v>
      </c>
      <c r="CS1341" s="584" t="s">
        <v>2583</v>
      </c>
      <c r="CT1341" s="584" t="s">
        <v>2584</v>
      </c>
      <c r="CU1341" s="584" t="s">
        <v>3080</v>
      </c>
      <c r="CV1341" s="585" t="s">
        <v>3081</v>
      </c>
    </row>
    <row r="1342" spans="91:100" ht="25.5" x14ac:dyDescent="0.25">
      <c r="CM1342" s="582"/>
      <c r="CN1342" s="584" t="s">
        <v>4900</v>
      </c>
      <c r="CO1342" s="584" t="s">
        <v>1910</v>
      </c>
      <c r="CP1342" s="584" t="s">
        <v>1888</v>
      </c>
      <c r="CQ1342" s="584" t="s">
        <v>4901</v>
      </c>
      <c r="CR1342" s="584" t="s">
        <v>4901</v>
      </c>
      <c r="CS1342" s="584" t="s">
        <v>2583</v>
      </c>
      <c r="CT1342" s="584" t="s">
        <v>2584</v>
      </c>
      <c r="CU1342" s="584" t="s">
        <v>3080</v>
      </c>
      <c r="CV1342" s="585" t="s">
        <v>3081</v>
      </c>
    </row>
    <row r="1343" spans="91:100" ht="25.5" x14ac:dyDescent="0.25">
      <c r="CM1343" s="582"/>
      <c r="CN1343" s="584" t="s">
        <v>4902</v>
      </c>
      <c r="CO1343" s="584" t="s">
        <v>1910</v>
      </c>
      <c r="CP1343" s="584" t="s">
        <v>1888</v>
      </c>
      <c r="CQ1343" s="584" t="s">
        <v>4903</v>
      </c>
      <c r="CR1343" s="584" t="s">
        <v>4903</v>
      </c>
      <c r="CS1343" s="584" t="s">
        <v>2583</v>
      </c>
      <c r="CT1343" s="584" t="s">
        <v>2584</v>
      </c>
      <c r="CU1343" s="584" t="s">
        <v>3080</v>
      </c>
      <c r="CV1343" s="585" t="s">
        <v>3081</v>
      </c>
    </row>
    <row r="1344" spans="91:100" ht="25.5" x14ac:dyDescent="0.25">
      <c r="CM1344" s="582"/>
      <c r="CN1344" s="584" t="s">
        <v>4904</v>
      </c>
      <c r="CO1344" s="584" t="s">
        <v>1910</v>
      </c>
      <c r="CP1344" s="584" t="s">
        <v>1888</v>
      </c>
      <c r="CQ1344" s="584" t="s">
        <v>4905</v>
      </c>
      <c r="CR1344" s="584" t="s">
        <v>4905</v>
      </c>
      <c r="CS1344" s="584" t="s">
        <v>2583</v>
      </c>
      <c r="CT1344" s="584" t="s">
        <v>2584</v>
      </c>
      <c r="CU1344" s="584" t="s">
        <v>3080</v>
      </c>
      <c r="CV1344" s="585" t="s">
        <v>3081</v>
      </c>
    </row>
    <row r="1345" spans="91:100" ht="25.5" x14ac:dyDescent="0.25">
      <c r="CM1345" s="582"/>
      <c r="CN1345" s="584" t="s">
        <v>4906</v>
      </c>
      <c r="CO1345" s="584" t="s">
        <v>1910</v>
      </c>
      <c r="CP1345" s="584" t="s">
        <v>1888</v>
      </c>
      <c r="CQ1345" s="584" t="s">
        <v>4907</v>
      </c>
      <c r="CR1345" s="584" t="s">
        <v>4907</v>
      </c>
      <c r="CS1345" s="584" t="s">
        <v>2583</v>
      </c>
      <c r="CT1345" s="584" t="s">
        <v>2584</v>
      </c>
      <c r="CU1345" s="584" t="s">
        <v>3080</v>
      </c>
      <c r="CV1345" s="585" t="s">
        <v>3081</v>
      </c>
    </row>
    <row r="1346" spans="91:100" ht="25.5" x14ac:dyDescent="0.25">
      <c r="CM1346" s="582"/>
      <c r="CN1346" s="584" t="s">
        <v>4908</v>
      </c>
      <c r="CO1346" s="584" t="s">
        <v>1910</v>
      </c>
      <c r="CP1346" s="584" t="s">
        <v>1888</v>
      </c>
      <c r="CQ1346" s="584" t="s">
        <v>4909</v>
      </c>
      <c r="CR1346" s="584" t="s">
        <v>4909</v>
      </c>
      <c r="CS1346" s="584" t="s">
        <v>2583</v>
      </c>
      <c r="CT1346" s="584" t="s">
        <v>2584</v>
      </c>
      <c r="CU1346" s="584" t="s">
        <v>3080</v>
      </c>
      <c r="CV1346" s="585" t="s">
        <v>3081</v>
      </c>
    </row>
    <row r="1347" spans="91:100" ht="25.5" x14ac:dyDescent="0.25">
      <c r="CM1347" s="582"/>
      <c r="CN1347" s="584" t="s">
        <v>4910</v>
      </c>
      <c r="CO1347" s="584" t="s">
        <v>1910</v>
      </c>
      <c r="CP1347" s="584" t="s">
        <v>1888</v>
      </c>
      <c r="CQ1347" s="584" t="s">
        <v>4911</v>
      </c>
      <c r="CR1347" s="584" t="s">
        <v>4911</v>
      </c>
      <c r="CS1347" s="584" t="s">
        <v>2583</v>
      </c>
      <c r="CT1347" s="584" t="s">
        <v>2584</v>
      </c>
      <c r="CU1347" s="584" t="s">
        <v>3080</v>
      </c>
      <c r="CV1347" s="585" t="s">
        <v>3081</v>
      </c>
    </row>
    <row r="1348" spans="91:100" ht="25.5" x14ac:dyDescent="0.25">
      <c r="CM1348" s="582"/>
      <c r="CN1348" s="584" t="s">
        <v>4912</v>
      </c>
      <c r="CO1348" s="584" t="s">
        <v>1910</v>
      </c>
      <c r="CP1348" s="584" t="s">
        <v>1888</v>
      </c>
      <c r="CQ1348" s="584" t="s">
        <v>4913</v>
      </c>
      <c r="CR1348" s="584" t="s">
        <v>4913</v>
      </c>
      <c r="CS1348" s="584" t="s">
        <v>2583</v>
      </c>
      <c r="CT1348" s="584" t="s">
        <v>2584</v>
      </c>
      <c r="CU1348" s="584" t="s">
        <v>3080</v>
      </c>
      <c r="CV1348" s="585" t="s">
        <v>3081</v>
      </c>
    </row>
    <row r="1349" spans="91:100" ht="25.5" x14ac:dyDescent="0.25">
      <c r="CM1349" s="582"/>
      <c r="CN1349" s="584" t="s">
        <v>4914</v>
      </c>
      <c r="CO1349" s="584" t="s">
        <v>1910</v>
      </c>
      <c r="CP1349" s="584" t="s">
        <v>1888</v>
      </c>
      <c r="CQ1349" s="584" t="s">
        <v>4915</v>
      </c>
      <c r="CR1349" s="584" t="s">
        <v>4915</v>
      </c>
      <c r="CS1349" s="584" t="s">
        <v>2583</v>
      </c>
      <c r="CT1349" s="584" t="s">
        <v>2584</v>
      </c>
      <c r="CU1349" s="584" t="s">
        <v>3080</v>
      </c>
      <c r="CV1349" s="585" t="s">
        <v>3081</v>
      </c>
    </row>
    <row r="1350" spans="91:100" ht="25.5" x14ac:dyDescent="0.25">
      <c r="CM1350" s="582"/>
      <c r="CN1350" s="584" t="s">
        <v>4916</v>
      </c>
      <c r="CO1350" s="584" t="s">
        <v>1910</v>
      </c>
      <c r="CP1350" s="584" t="s">
        <v>1888</v>
      </c>
      <c r="CQ1350" s="584" t="s">
        <v>4917</v>
      </c>
      <c r="CR1350" s="584" t="s">
        <v>4917</v>
      </c>
      <c r="CS1350" s="584" t="s">
        <v>2583</v>
      </c>
      <c r="CT1350" s="584" t="s">
        <v>2584</v>
      </c>
      <c r="CU1350" s="584" t="s">
        <v>3080</v>
      </c>
      <c r="CV1350" s="585" t="s">
        <v>3081</v>
      </c>
    </row>
    <row r="1351" spans="91:100" ht="25.5" x14ac:dyDescent="0.25">
      <c r="CM1351" s="582"/>
      <c r="CN1351" s="584" t="s">
        <v>4918</v>
      </c>
      <c r="CO1351" s="584" t="s">
        <v>1910</v>
      </c>
      <c r="CP1351" s="584" t="s">
        <v>1888</v>
      </c>
      <c r="CQ1351" s="584" t="s">
        <v>4919</v>
      </c>
      <c r="CR1351" s="584" t="s">
        <v>4919</v>
      </c>
      <c r="CS1351" s="584" t="s">
        <v>2583</v>
      </c>
      <c r="CT1351" s="584" t="s">
        <v>2584</v>
      </c>
      <c r="CU1351" s="584" t="s">
        <v>3080</v>
      </c>
      <c r="CV1351" s="585" t="s">
        <v>3081</v>
      </c>
    </row>
    <row r="1352" spans="91:100" ht="25.5" x14ac:dyDescent="0.25">
      <c r="CM1352" s="582"/>
      <c r="CN1352" s="584" t="s">
        <v>4920</v>
      </c>
      <c r="CO1352" s="584" t="s">
        <v>1910</v>
      </c>
      <c r="CP1352" s="584" t="s">
        <v>1888</v>
      </c>
      <c r="CQ1352" s="584" t="s">
        <v>4921</v>
      </c>
      <c r="CR1352" s="584" t="s">
        <v>4921</v>
      </c>
      <c r="CS1352" s="584" t="s">
        <v>2583</v>
      </c>
      <c r="CT1352" s="584" t="s">
        <v>2584</v>
      </c>
      <c r="CU1352" s="584" t="s">
        <v>3080</v>
      </c>
      <c r="CV1352" s="585" t="s">
        <v>3081</v>
      </c>
    </row>
    <row r="1353" spans="91:100" ht="25.5" x14ac:dyDescent="0.25">
      <c r="CM1353" s="582"/>
      <c r="CN1353" s="584" t="s">
        <v>4922</v>
      </c>
      <c r="CO1353" s="584" t="s">
        <v>1910</v>
      </c>
      <c r="CP1353" s="584" t="s">
        <v>1888</v>
      </c>
      <c r="CQ1353" s="584" t="s">
        <v>4923</v>
      </c>
      <c r="CR1353" s="584" t="s">
        <v>4923</v>
      </c>
      <c r="CS1353" s="584" t="s">
        <v>2583</v>
      </c>
      <c r="CT1353" s="584" t="s">
        <v>2584</v>
      </c>
      <c r="CU1353" s="584" t="s">
        <v>3080</v>
      </c>
      <c r="CV1353" s="585" t="s">
        <v>3081</v>
      </c>
    </row>
    <row r="1354" spans="91:100" ht="25.5" x14ac:dyDescent="0.25">
      <c r="CM1354" s="582"/>
      <c r="CN1354" s="584" t="s">
        <v>4924</v>
      </c>
      <c r="CO1354" s="584" t="s">
        <v>1910</v>
      </c>
      <c r="CP1354" s="584" t="s">
        <v>1888</v>
      </c>
      <c r="CQ1354" s="584" t="s">
        <v>4925</v>
      </c>
      <c r="CR1354" s="584" t="s">
        <v>4925</v>
      </c>
      <c r="CS1354" s="584" t="s">
        <v>2583</v>
      </c>
      <c r="CT1354" s="584" t="s">
        <v>2584</v>
      </c>
      <c r="CU1354" s="584" t="s">
        <v>3080</v>
      </c>
      <c r="CV1354" s="585" t="s">
        <v>3081</v>
      </c>
    </row>
    <row r="1355" spans="91:100" ht="25.5" x14ac:dyDescent="0.25">
      <c r="CM1355" s="582"/>
      <c r="CN1355" s="584" t="s">
        <v>4926</v>
      </c>
      <c r="CO1355" s="584" t="s">
        <v>1910</v>
      </c>
      <c r="CP1355" s="584" t="s">
        <v>1888</v>
      </c>
      <c r="CQ1355" s="584" t="s">
        <v>4927</v>
      </c>
      <c r="CR1355" s="584" t="s">
        <v>4927</v>
      </c>
      <c r="CS1355" s="584" t="s">
        <v>2583</v>
      </c>
      <c r="CT1355" s="584" t="s">
        <v>2584</v>
      </c>
      <c r="CU1355" s="584" t="s">
        <v>3080</v>
      </c>
      <c r="CV1355" s="585" t="s">
        <v>3081</v>
      </c>
    </row>
    <row r="1356" spans="91:100" ht="25.5" x14ac:dyDescent="0.25">
      <c r="CM1356" s="582"/>
      <c r="CN1356" s="584" t="s">
        <v>4928</v>
      </c>
      <c r="CO1356" s="584" t="s">
        <v>1910</v>
      </c>
      <c r="CP1356" s="584" t="s">
        <v>1888</v>
      </c>
      <c r="CQ1356" s="584" t="s">
        <v>4929</v>
      </c>
      <c r="CR1356" s="584" t="s">
        <v>4929</v>
      </c>
      <c r="CS1356" s="584" t="s">
        <v>2583</v>
      </c>
      <c r="CT1356" s="584" t="s">
        <v>2584</v>
      </c>
      <c r="CU1356" s="584" t="s">
        <v>3080</v>
      </c>
      <c r="CV1356" s="585" t="s">
        <v>3081</v>
      </c>
    </row>
    <row r="1357" spans="91:100" ht="25.5" x14ac:dyDescent="0.25">
      <c r="CM1357" s="582"/>
      <c r="CN1357" s="584" t="s">
        <v>4930</v>
      </c>
      <c r="CO1357" s="584" t="s">
        <v>1910</v>
      </c>
      <c r="CP1357" s="584" t="s">
        <v>1888</v>
      </c>
      <c r="CQ1357" s="584" t="s">
        <v>4931</v>
      </c>
      <c r="CR1357" s="584" t="s">
        <v>4931</v>
      </c>
      <c r="CS1357" s="584" t="s">
        <v>2583</v>
      </c>
      <c r="CT1357" s="584" t="s">
        <v>2584</v>
      </c>
      <c r="CU1357" s="584" t="s">
        <v>3080</v>
      </c>
      <c r="CV1357" s="585" t="s">
        <v>3081</v>
      </c>
    </row>
    <row r="1358" spans="91:100" ht="25.5" x14ac:dyDescent="0.25">
      <c r="CM1358" s="582"/>
      <c r="CN1358" s="584" t="s">
        <v>4932</v>
      </c>
      <c r="CO1358" s="584" t="s">
        <v>1910</v>
      </c>
      <c r="CP1358" s="584" t="s">
        <v>1888</v>
      </c>
      <c r="CQ1358" s="584" t="s">
        <v>4933</v>
      </c>
      <c r="CR1358" s="584" t="s">
        <v>4933</v>
      </c>
      <c r="CS1358" s="584" t="s">
        <v>2583</v>
      </c>
      <c r="CT1358" s="584" t="s">
        <v>2584</v>
      </c>
      <c r="CU1358" s="584" t="s">
        <v>3080</v>
      </c>
      <c r="CV1358" s="585" t="s">
        <v>3081</v>
      </c>
    </row>
    <row r="1359" spans="91:100" ht="25.5" x14ac:dyDescent="0.25">
      <c r="CM1359" s="582"/>
      <c r="CN1359" s="584" t="s">
        <v>4934</v>
      </c>
      <c r="CO1359" s="584" t="s">
        <v>1910</v>
      </c>
      <c r="CP1359" s="584" t="s">
        <v>1888</v>
      </c>
      <c r="CQ1359" s="584" t="s">
        <v>4935</v>
      </c>
      <c r="CR1359" s="584" t="s">
        <v>4935</v>
      </c>
      <c r="CS1359" s="584" t="s">
        <v>2583</v>
      </c>
      <c r="CT1359" s="584" t="s">
        <v>2584</v>
      </c>
      <c r="CU1359" s="584" t="s">
        <v>3080</v>
      </c>
      <c r="CV1359" s="585" t="s">
        <v>3081</v>
      </c>
    </row>
    <row r="1360" spans="91:100" ht="25.5" x14ac:dyDescent="0.25">
      <c r="CM1360" s="582"/>
      <c r="CN1360" s="584" t="s">
        <v>4936</v>
      </c>
      <c r="CO1360" s="584" t="s">
        <v>1910</v>
      </c>
      <c r="CP1360" s="584" t="s">
        <v>1888</v>
      </c>
      <c r="CQ1360" s="584" t="s">
        <v>4937</v>
      </c>
      <c r="CR1360" s="584" t="s">
        <v>4937</v>
      </c>
      <c r="CS1360" s="584" t="s">
        <v>2583</v>
      </c>
      <c r="CT1360" s="584" t="s">
        <v>2584</v>
      </c>
      <c r="CU1360" s="584" t="s">
        <v>3080</v>
      </c>
      <c r="CV1360" s="585" t="s">
        <v>3081</v>
      </c>
    </row>
    <row r="1361" spans="91:100" ht="25.5" x14ac:dyDescent="0.25">
      <c r="CM1361" s="582"/>
      <c r="CN1361" s="584" t="s">
        <v>4938</v>
      </c>
      <c r="CO1361" s="584" t="s">
        <v>1910</v>
      </c>
      <c r="CP1361" s="584" t="s">
        <v>1888</v>
      </c>
      <c r="CQ1361" s="584" t="s">
        <v>4939</v>
      </c>
      <c r="CR1361" s="584" t="s">
        <v>4939</v>
      </c>
      <c r="CS1361" s="584" t="s">
        <v>2583</v>
      </c>
      <c r="CT1361" s="584" t="s">
        <v>2584</v>
      </c>
      <c r="CU1361" s="584" t="s">
        <v>3080</v>
      </c>
      <c r="CV1361" s="585" t="s">
        <v>3081</v>
      </c>
    </row>
    <row r="1362" spans="91:100" ht="25.5" x14ac:dyDescent="0.25">
      <c r="CM1362" s="582"/>
      <c r="CN1362" s="584" t="s">
        <v>4940</v>
      </c>
      <c r="CO1362" s="584" t="s">
        <v>1910</v>
      </c>
      <c r="CP1362" s="584" t="s">
        <v>1888</v>
      </c>
      <c r="CQ1362" s="584" t="s">
        <v>4941</v>
      </c>
      <c r="CR1362" s="584" t="s">
        <v>4941</v>
      </c>
      <c r="CS1362" s="584" t="s">
        <v>2583</v>
      </c>
      <c r="CT1362" s="584" t="s">
        <v>2584</v>
      </c>
      <c r="CU1362" s="584" t="s">
        <v>3080</v>
      </c>
      <c r="CV1362" s="585" t="s">
        <v>3081</v>
      </c>
    </row>
    <row r="1363" spans="91:100" ht="25.5" x14ac:dyDescent="0.25">
      <c r="CM1363" s="582"/>
      <c r="CN1363" s="584" t="s">
        <v>4942</v>
      </c>
      <c r="CO1363" s="584" t="s">
        <v>1910</v>
      </c>
      <c r="CP1363" s="584" t="s">
        <v>1888</v>
      </c>
      <c r="CQ1363" s="584" t="s">
        <v>4943</v>
      </c>
      <c r="CR1363" s="584" t="s">
        <v>4943</v>
      </c>
      <c r="CS1363" s="584" t="s">
        <v>2583</v>
      </c>
      <c r="CT1363" s="584" t="s">
        <v>2584</v>
      </c>
      <c r="CU1363" s="584" t="s">
        <v>3080</v>
      </c>
      <c r="CV1363" s="585" t="s">
        <v>3081</v>
      </c>
    </row>
    <row r="1364" spans="91:100" x14ac:dyDescent="0.25">
      <c r="CM1364" s="582"/>
      <c r="CN1364" s="584" t="s">
        <v>4944</v>
      </c>
      <c r="CO1364" s="584" t="s">
        <v>1910</v>
      </c>
      <c r="CP1364" s="584" t="s">
        <v>2325</v>
      </c>
      <c r="CQ1364" s="584" t="s">
        <v>4945</v>
      </c>
      <c r="CR1364" s="584" t="s">
        <v>4946</v>
      </c>
      <c r="CS1364" s="584" t="s">
        <v>1978</v>
      </c>
      <c r="CT1364" s="584" t="s">
        <v>2327</v>
      </c>
      <c r="CU1364" s="584" t="s">
        <v>1892</v>
      </c>
      <c r="CV1364" s="585" t="s">
        <v>1980</v>
      </c>
    </row>
    <row r="1365" spans="91:100" x14ac:dyDescent="0.25">
      <c r="CM1365" s="582"/>
      <c r="CN1365" s="584" t="s">
        <v>4947</v>
      </c>
      <c r="CO1365" s="584" t="s">
        <v>1910</v>
      </c>
      <c r="CP1365" s="584" t="s">
        <v>2325</v>
      </c>
      <c r="CQ1365" s="584" t="s">
        <v>4948</v>
      </c>
      <c r="CR1365" s="584" t="s">
        <v>4949</v>
      </c>
      <c r="CS1365" s="584" t="s">
        <v>1978</v>
      </c>
      <c r="CT1365" s="584" t="s">
        <v>2327</v>
      </c>
      <c r="CU1365" s="584" t="s">
        <v>1892</v>
      </c>
      <c r="CV1365" s="585" t="s">
        <v>1980</v>
      </c>
    </row>
    <row r="1366" spans="91:100" x14ac:dyDescent="0.25">
      <c r="CM1366" s="582"/>
      <c r="CN1366" s="584" t="s">
        <v>4950</v>
      </c>
      <c r="CO1366" s="584" t="s">
        <v>1910</v>
      </c>
      <c r="CP1366" s="584" t="s">
        <v>2325</v>
      </c>
      <c r="CQ1366" s="584" t="s">
        <v>4951</v>
      </c>
      <c r="CR1366" s="584" t="s">
        <v>4952</v>
      </c>
      <c r="CS1366" s="584" t="s">
        <v>1978</v>
      </c>
      <c r="CT1366" s="584" t="s">
        <v>2327</v>
      </c>
      <c r="CU1366" s="584" t="s">
        <v>1892</v>
      </c>
      <c r="CV1366" s="585" t="s">
        <v>1980</v>
      </c>
    </row>
    <row r="1367" spans="91:100" x14ac:dyDescent="0.25">
      <c r="CM1367" s="582"/>
      <c r="CN1367" s="584" t="s">
        <v>4953</v>
      </c>
      <c r="CO1367" s="584" t="s">
        <v>1910</v>
      </c>
      <c r="CP1367" s="584" t="s">
        <v>2325</v>
      </c>
      <c r="CQ1367" s="584" t="s">
        <v>4954</v>
      </c>
      <c r="CR1367" s="584" t="s">
        <v>4955</v>
      </c>
      <c r="CS1367" s="584" t="s">
        <v>1978</v>
      </c>
      <c r="CT1367" s="584" t="s">
        <v>2327</v>
      </c>
      <c r="CU1367" s="584" t="s">
        <v>1892</v>
      </c>
      <c r="CV1367" s="585" t="s">
        <v>1980</v>
      </c>
    </row>
    <row r="1368" spans="91:100" x14ac:dyDescent="0.25">
      <c r="CM1368" s="582"/>
      <c r="CN1368" s="584" t="s">
        <v>4956</v>
      </c>
      <c r="CO1368" s="584" t="s">
        <v>1910</v>
      </c>
      <c r="CP1368" s="584" t="s">
        <v>2325</v>
      </c>
      <c r="CQ1368" s="584" t="s">
        <v>4957</v>
      </c>
      <c r="CR1368" s="584" t="s">
        <v>4958</v>
      </c>
      <c r="CS1368" s="584" t="s">
        <v>1978</v>
      </c>
      <c r="CT1368" s="584" t="s">
        <v>2327</v>
      </c>
      <c r="CU1368" s="584" t="s">
        <v>1892</v>
      </c>
      <c r="CV1368" s="585" t="s">
        <v>1980</v>
      </c>
    </row>
    <row r="1369" spans="91:100" x14ac:dyDescent="0.25">
      <c r="CM1369" s="582"/>
      <c r="CN1369" s="584" t="s">
        <v>4959</v>
      </c>
      <c r="CO1369" s="584" t="s">
        <v>1910</v>
      </c>
      <c r="CP1369" s="584" t="s">
        <v>2325</v>
      </c>
      <c r="CQ1369" s="584" t="s">
        <v>4960</v>
      </c>
      <c r="CR1369" s="584" t="s">
        <v>4960</v>
      </c>
      <c r="CS1369" s="584" t="s">
        <v>1978</v>
      </c>
      <c r="CT1369" s="584" t="s">
        <v>2327</v>
      </c>
      <c r="CU1369" s="584" t="s">
        <v>1892</v>
      </c>
      <c r="CV1369" s="585" t="s">
        <v>1980</v>
      </c>
    </row>
    <row r="1370" spans="91:100" x14ac:dyDescent="0.25">
      <c r="CM1370" s="582"/>
      <c r="CN1370" s="584" t="s">
        <v>4961</v>
      </c>
      <c r="CO1370" s="584" t="s">
        <v>1910</v>
      </c>
      <c r="CP1370" s="584" t="s">
        <v>2325</v>
      </c>
      <c r="CQ1370" s="584" t="s">
        <v>4962</v>
      </c>
      <c r="CR1370" s="584" t="s">
        <v>4962</v>
      </c>
      <c r="CS1370" s="584" t="s">
        <v>1978</v>
      </c>
      <c r="CT1370" s="584" t="s">
        <v>2327</v>
      </c>
      <c r="CU1370" s="584" t="s">
        <v>1892</v>
      </c>
      <c r="CV1370" s="585" t="s">
        <v>1980</v>
      </c>
    </row>
    <row r="1371" spans="91:100" x14ac:dyDescent="0.25">
      <c r="CM1371" s="582"/>
      <c r="CN1371" s="584" t="s">
        <v>4963</v>
      </c>
      <c r="CO1371" s="584" t="s">
        <v>1910</v>
      </c>
      <c r="CP1371" s="584" t="s">
        <v>2325</v>
      </c>
      <c r="CQ1371" s="584" t="s">
        <v>4964</v>
      </c>
      <c r="CR1371" s="584" t="s">
        <v>4964</v>
      </c>
      <c r="CS1371" s="584" t="s">
        <v>1978</v>
      </c>
      <c r="CT1371" s="584" t="s">
        <v>2327</v>
      </c>
      <c r="CU1371" s="584" t="s">
        <v>1892</v>
      </c>
      <c r="CV1371" s="585" t="s">
        <v>1980</v>
      </c>
    </row>
    <row r="1372" spans="91:100" x14ac:dyDescent="0.25">
      <c r="CM1372" s="582"/>
      <c r="CN1372" s="584" t="s">
        <v>4965</v>
      </c>
      <c r="CO1372" s="584" t="s">
        <v>1910</v>
      </c>
      <c r="CP1372" s="584" t="s">
        <v>2325</v>
      </c>
      <c r="CQ1372" s="584" t="s">
        <v>4966</v>
      </c>
      <c r="CR1372" s="584" t="s">
        <v>4966</v>
      </c>
      <c r="CS1372" s="584" t="s">
        <v>1978</v>
      </c>
      <c r="CT1372" s="584" t="s">
        <v>2327</v>
      </c>
      <c r="CU1372" s="584" t="s">
        <v>1892</v>
      </c>
      <c r="CV1372" s="585" t="s">
        <v>1980</v>
      </c>
    </row>
    <row r="1373" spans="91:100" x14ac:dyDescent="0.25">
      <c r="CM1373" s="582"/>
      <c r="CN1373" s="584" t="s">
        <v>4967</v>
      </c>
      <c r="CO1373" s="584" t="s">
        <v>1910</v>
      </c>
      <c r="CP1373" s="584" t="s">
        <v>2535</v>
      </c>
      <c r="CQ1373" s="584" t="s">
        <v>4968</v>
      </c>
      <c r="CR1373" s="584" t="s">
        <v>4969</v>
      </c>
      <c r="CS1373" s="584" t="s">
        <v>1890</v>
      </c>
      <c r="CT1373" s="584" t="s">
        <v>4970</v>
      </c>
      <c r="CU1373" s="584" t="s">
        <v>1892</v>
      </c>
      <c r="CV1373" s="585" t="s">
        <v>1893</v>
      </c>
    </row>
    <row r="1374" spans="91:100" x14ac:dyDescent="0.25">
      <c r="CM1374" s="582"/>
      <c r="CN1374" s="584" t="s">
        <v>4971</v>
      </c>
      <c r="CO1374" s="584" t="s">
        <v>1910</v>
      </c>
      <c r="CP1374" s="584" t="s">
        <v>2535</v>
      </c>
      <c r="CQ1374" s="584" t="s">
        <v>4972</v>
      </c>
      <c r="CR1374" s="584" t="s">
        <v>4972</v>
      </c>
      <c r="CS1374" s="584" t="s">
        <v>1890</v>
      </c>
      <c r="CT1374" s="584" t="s">
        <v>4970</v>
      </c>
      <c r="CU1374" s="584" t="s">
        <v>1892</v>
      </c>
      <c r="CV1374" s="585" t="s">
        <v>1893</v>
      </c>
    </row>
    <row r="1375" spans="91:100" x14ac:dyDescent="0.25">
      <c r="CM1375" s="582"/>
      <c r="CN1375" s="584" t="s">
        <v>4973</v>
      </c>
      <c r="CO1375" s="584" t="s">
        <v>1910</v>
      </c>
      <c r="CP1375" s="584" t="s">
        <v>2535</v>
      </c>
      <c r="CQ1375" s="584" t="s">
        <v>4974</v>
      </c>
      <c r="CR1375" s="584" t="s">
        <v>4974</v>
      </c>
      <c r="CS1375" s="584" t="s">
        <v>1890</v>
      </c>
      <c r="CT1375" s="584" t="s">
        <v>4970</v>
      </c>
      <c r="CU1375" s="584" t="s">
        <v>1892</v>
      </c>
      <c r="CV1375" s="585" t="s">
        <v>1893</v>
      </c>
    </row>
    <row r="1376" spans="91:100" x14ac:dyDescent="0.25">
      <c r="CM1376" s="582"/>
      <c r="CN1376" s="584" t="s">
        <v>4975</v>
      </c>
      <c r="CO1376" s="584" t="s">
        <v>1910</v>
      </c>
      <c r="CP1376" s="584" t="s">
        <v>2535</v>
      </c>
      <c r="CQ1376" s="584" t="s">
        <v>4976</v>
      </c>
      <c r="CR1376" s="584" t="s">
        <v>4977</v>
      </c>
      <c r="CS1376" s="584" t="s">
        <v>1890</v>
      </c>
      <c r="CT1376" s="584" t="s">
        <v>4970</v>
      </c>
      <c r="CU1376" s="584" t="s">
        <v>1892</v>
      </c>
      <c r="CV1376" s="585" t="s">
        <v>1893</v>
      </c>
    </row>
    <row r="1377" spans="91:100" x14ac:dyDescent="0.25">
      <c r="CM1377" s="582"/>
      <c r="CN1377" s="584" t="s">
        <v>4978</v>
      </c>
      <c r="CO1377" s="584" t="s">
        <v>1910</v>
      </c>
      <c r="CP1377" s="584" t="s">
        <v>2535</v>
      </c>
      <c r="CQ1377" s="584" t="s">
        <v>4979</v>
      </c>
      <c r="CR1377" s="584" t="s">
        <v>4979</v>
      </c>
      <c r="CS1377" s="584" t="s">
        <v>1890</v>
      </c>
      <c r="CT1377" s="584" t="s">
        <v>4970</v>
      </c>
      <c r="CU1377" s="584" t="s">
        <v>1892</v>
      </c>
      <c r="CV1377" s="585" t="s">
        <v>1893</v>
      </c>
    </row>
    <row r="1378" spans="91:100" x14ac:dyDescent="0.25">
      <c r="CM1378" s="582"/>
      <c r="CN1378" s="584" t="s">
        <v>4980</v>
      </c>
      <c r="CO1378" s="584" t="s">
        <v>1910</v>
      </c>
      <c r="CP1378" s="584" t="s">
        <v>2535</v>
      </c>
      <c r="CQ1378" s="584" t="s">
        <v>4981</v>
      </c>
      <c r="CR1378" s="584" t="s">
        <v>4981</v>
      </c>
      <c r="CS1378" s="584" t="s">
        <v>1890</v>
      </c>
      <c r="CT1378" s="584" t="s">
        <v>4970</v>
      </c>
      <c r="CU1378" s="584" t="s">
        <v>1892</v>
      </c>
      <c r="CV1378" s="585" t="s">
        <v>1893</v>
      </c>
    </row>
    <row r="1379" spans="91:100" x14ac:dyDescent="0.25">
      <c r="CM1379" s="582"/>
      <c r="CN1379" s="584" t="s">
        <v>4982</v>
      </c>
      <c r="CO1379" s="584" t="s">
        <v>1910</v>
      </c>
      <c r="CP1379" s="584" t="s">
        <v>2535</v>
      </c>
      <c r="CQ1379" s="584" t="s">
        <v>4983</v>
      </c>
      <c r="CR1379" s="584" t="s">
        <v>4983</v>
      </c>
      <c r="CS1379" s="584" t="s">
        <v>1890</v>
      </c>
      <c r="CT1379" s="584" t="s">
        <v>4970</v>
      </c>
      <c r="CU1379" s="584" t="s">
        <v>1892</v>
      </c>
      <c r="CV1379" s="585" t="s">
        <v>1893</v>
      </c>
    </row>
    <row r="1380" spans="91:100" x14ac:dyDescent="0.25">
      <c r="CM1380" s="582"/>
      <c r="CN1380" s="584" t="s">
        <v>4984</v>
      </c>
      <c r="CO1380" s="584" t="s">
        <v>1910</v>
      </c>
      <c r="CP1380" s="584" t="s">
        <v>2535</v>
      </c>
      <c r="CQ1380" s="584" t="s">
        <v>2563</v>
      </c>
      <c r="CR1380" s="584" t="s">
        <v>2563</v>
      </c>
      <c r="CS1380" s="584" t="s">
        <v>1890</v>
      </c>
      <c r="CT1380" s="584" t="s">
        <v>4970</v>
      </c>
      <c r="CU1380" s="584" t="s">
        <v>1892</v>
      </c>
      <c r="CV1380" s="585" t="s">
        <v>1893</v>
      </c>
    </row>
    <row r="1381" spans="91:100" x14ac:dyDescent="0.25">
      <c r="CM1381" s="582"/>
      <c r="CN1381" s="584" t="s">
        <v>4985</v>
      </c>
      <c r="CO1381" s="584" t="s">
        <v>1910</v>
      </c>
      <c r="CP1381" s="584" t="s">
        <v>2535</v>
      </c>
      <c r="CQ1381" s="584" t="s">
        <v>4986</v>
      </c>
      <c r="CR1381" s="584" t="s">
        <v>4987</v>
      </c>
      <c r="CS1381" s="584" t="s">
        <v>1890</v>
      </c>
      <c r="CT1381" s="584" t="s">
        <v>4970</v>
      </c>
      <c r="CU1381" s="584" t="s">
        <v>1892</v>
      </c>
      <c r="CV1381" s="585" t="s">
        <v>1893</v>
      </c>
    </row>
    <row r="1382" spans="91:100" x14ac:dyDescent="0.25">
      <c r="CM1382" s="582"/>
      <c r="CN1382" s="584" t="s">
        <v>4988</v>
      </c>
      <c r="CO1382" s="584" t="s">
        <v>1910</v>
      </c>
      <c r="CP1382" s="584" t="s">
        <v>2535</v>
      </c>
      <c r="CQ1382" s="584" t="s">
        <v>2568</v>
      </c>
      <c r="CR1382" s="584" t="s">
        <v>2568</v>
      </c>
      <c r="CS1382" s="584" t="s">
        <v>1890</v>
      </c>
      <c r="CT1382" s="584" t="s">
        <v>4970</v>
      </c>
      <c r="CU1382" s="584" t="s">
        <v>1892</v>
      </c>
      <c r="CV1382" s="585" t="s">
        <v>1893</v>
      </c>
    </row>
    <row r="1383" spans="91:100" x14ac:dyDescent="0.25">
      <c r="CM1383" s="582"/>
      <c r="CN1383" s="584" t="s">
        <v>4989</v>
      </c>
      <c r="CO1383" s="584" t="s">
        <v>1910</v>
      </c>
      <c r="CP1383" s="584" t="s">
        <v>2535</v>
      </c>
      <c r="CQ1383" s="584" t="s">
        <v>4990</v>
      </c>
      <c r="CR1383" s="584" t="s">
        <v>4990</v>
      </c>
      <c r="CS1383" s="584" t="s">
        <v>1890</v>
      </c>
      <c r="CT1383" s="584" t="s">
        <v>4970</v>
      </c>
      <c r="CU1383" s="584" t="s">
        <v>1892</v>
      </c>
      <c r="CV1383" s="585" t="s">
        <v>1893</v>
      </c>
    </row>
    <row r="1384" spans="91:100" x14ac:dyDescent="0.25">
      <c r="CM1384" s="582"/>
      <c r="CN1384" s="584" t="s">
        <v>4991</v>
      </c>
      <c r="CO1384" s="584" t="s">
        <v>1911</v>
      </c>
      <c r="CP1384" s="584" t="s">
        <v>1888</v>
      </c>
      <c r="CQ1384" s="584" t="s">
        <v>4992</v>
      </c>
      <c r="CR1384" s="584" t="s">
        <v>4992</v>
      </c>
      <c r="CS1384" s="584" t="s">
        <v>1890</v>
      </c>
      <c r="CT1384" s="584" t="s">
        <v>4993</v>
      </c>
      <c r="CU1384" s="584" t="s">
        <v>1892</v>
      </c>
      <c r="CV1384" s="585" t="s">
        <v>1893</v>
      </c>
    </row>
    <row r="1385" spans="91:100" x14ac:dyDescent="0.25">
      <c r="CM1385" s="582"/>
      <c r="CN1385" s="584" t="s">
        <v>4994</v>
      </c>
      <c r="CO1385" s="584" t="s">
        <v>1911</v>
      </c>
      <c r="CP1385" s="584" t="s">
        <v>1888</v>
      </c>
      <c r="CQ1385" s="584" t="s">
        <v>4995</v>
      </c>
      <c r="CR1385" s="584" t="s">
        <v>4995</v>
      </c>
      <c r="CS1385" s="584" t="s">
        <v>1890</v>
      </c>
      <c r="CT1385" s="584" t="s">
        <v>4993</v>
      </c>
      <c r="CU1385" s="584" t="s">
        <v>1892</v>
      </c>
      <c r="CV1385" s="585" t="s">
        <v>1893</v>
      </c>
    </row>
    <row r="1386" spans="91:100" x14ac:dyDescent="0.25">
      <c r="CM1386" s="582"/>
      <c r="CN1386" s="584" t="s">
        <v>4996</v>
      </c>
      <c r="CO1386" s="584" t="s">
        <v>1911</v>
      </c>
      <c r="CP1386" s="584" t="s">
        <v>1888</v>
      </c>
      <c r="CQ1386" s="584" t="s">
        <v>4997</v>
      </c>
      <c r="CR1386" s="584" t="s">
        <v>4997</v>
      </c>
      <c r="CS1386" s="584" t="s">
        <v>1890</v>
      </c>
      <c r="CT1386" s="584" t="s">
        <v>4993</v>
      </c>
      <c r="CU1386" s="584" t="s">
        <v>1892</v>
      </c>
      <c r="CV1386" s="585" t="s">
        <v>1893</v>
      </c>
    </row>
    <row r="1387" spans="91:100" x14ac:dyDescent="0.25">
      <c r="CM1387" s="582"/>
      <c r="CN1387" s="584" t="s">
        <v>4998</v>
      </c>
      <c r="CO1387" s="584" t="s">
        <v>1911</v>
      </c>
      <c r="CP1387" s="584" t="s">
        <v>1888</v>
      </c>
      <c r="CQ1387" s="584" t="s">
        <v>4999</v>
      </c>
      <c r="CR1387" s="584" t="s">
        <v>5000</v>
      </c>
      <c r="CS1387" s="584" t="s">
        <v>1890</v>
      </c>
      <c r="CT1387" s="584" t="s">
        <v>4993</v>
      </c>
      <c r="CU1387" s="584" t="s">
        <v>1892</v>
      </c>
      <c r="CV1387" s="585" t="s">
        <v>1893</v>
      </c>
    </row>
    <row r="1388" spans="91:100" x14ac:dyDescent="0.25">
      <c r="CM1388" s="582"/>
      <c r="CN1388" s="584" t="s">
        <v>5001</v>
      </c>
      <c r="CO1388" s="584" t="s">
        <v>1911</v>
      </c>
      <c r="CP1388" s="584" t="s">
        <v>1888</v>
      </c>
      <c r="CQ1388" s="584" t="s">
        <v>5002</v>
      </c>
      <c r="CR1388" s="584" t="s">
        <v>5003</v>
      </c>
      <c r="CS1388" s="584" t="s">
        <v>1890</v>
      </c>
      <c r="CT1388" s="584" t="s">
        <v>4993</v>
      </c>
      <c r="CU1388" s="584" t="s">
        <v>1892</v>
      </c>
      <c r="CV1388" s="585" t="s">
        <v>1893</v>
      </c>
    </row>
    <row r="1389" spans="91:100" x14ac:dyDescent="0.25">
      <c r="CM1389" s="582"/>
      <c r="CN1389" s="584" t="s">
        <v>5004</v>
      </c>
      <c r="CO1389" s="584" t="s">
        <v>1911</v>
      </c>
      <c r="CP1389" s="584" t="s">
        <v>1888</v>
      </c>
      <c r="CQ1389" s="584" t="s">
        <v>5005</v>
      </c>
      <c r="CR1389" s="584" t="s">
        <v>5006</v>
      </c>
      <c r="CS1389" s="584" t="s">
        <v>1890</v>
      </c>
      <c r="CT1389" s="584" t="s">
        <v>4993</v>
      </c>
      <c r="CU1389" s="584" t="s">
        <v>1892</v>
      </c>
      <c r="CV1389" s="585" t="s">
        <v>1893</v>
      </c>
    </row>
    <row r="1390" spans="91:100" x14ac:dyDescent="0.25">
      <c r="CM1390" s="582"/>
      <c r="CN1390" s="584" t="s">
        <v>5007</v>
      </c>
      <c r="CO1390" s="584" t="s">
        <v>1911</v>
      </c>
      <c r="CP1390" s="584" t="s">
        <v>1888</v>
      </c>
      <c r="CQ1390" s="584" t="s">
        <v>5008</v>
      </c>
      <c r="CR1390" s="584" t="s">
        <v>5008</v>
      </c>
      <c r="CS1390" s="584" t="s">
        <v>1890</v>
      </c>
      <c r="CT1390" s="584" t="s">
        <v>4993</v>
      </c>
      <c r="CU1390" s="584" t="s">
        <v>1892</v>
      </c>
      <c r="CV1390" s="585" t="s">
        <v>1893</v>
      </c>
    </row>
    <row r="1391" spans="91:100" x14ac:dyDescent="0.25">
      <c r="CM1391" s="582"/>
      <c r="CN1391" s="584" t="s">
        <v>5009</v>
      </c>
      <c r="CO1391" s="584" t="s">
        <v>1911</v>
      </c>
      <c r="CP1391" s="584" t="s">
        <v>1888</v>
      </c>
      <c r="CQ1391" s="584" t="s">
        <v>5010</v>
      </c>
      <c r="CR1391" s="584" t="s">
        <v>5010</v>
      </c>
      <c r="CS1391" s="584" t="s">
        <v>1978</v>
      </c>
      <c r="CT1391" s="584" t="s">
        <v>1979</v>
      </c>
      <c r="CU1391" s="584" t="s">
        <v>1892</v>
      </c>
      <c r="CV1391" s="585" t="s">
        <v>1980</v>
      </c>
    </row>
    <row r="1392" spans="91:100" x14ac:dyDescent="0.25">
      <c r="CM1392" s="582"/>
      <c r="CN1392" s="584" t="s">
        <v>5011</v>
      </c>
      <c r="CO1392" s="584" t="s">
        <v>1911</v>
      </c>
      <c r="CP1392" s="584" t="s">
        <v>1888</v>
      </c>
      <c r="CQ1392" s="584" t="s">
        <v>5012</v>
      </c>
      <c r="CR1392" s="584" t="s">
        <v>5012</v>
      </c>
      <c r="CS1392" s="584" t="s">
        <v>1978</v>
      </c>
      <c r="CT1392" s="584" t="s">
        <v>1979</v>
      </c>
      <c r="CU1392" s="584" t="s">
        <v>1892</v>
      </c>
      <c r="CV1392" s="585" t="s">
        <v>1980</v>
      </c>
    </row>
    <row r="1393" spans="91:100" x14ac:dyDescent="0.25">
      <c r="CM1393" s="582"/>
      <c r="CN1393" s="584" t="s">
        <v>5013</v>
      </c>
      <c r="CO1393" s="584" t="s">
        <v>1911</v>
      </c>
      <c r="CP1393" s="584" t="s">
        <v>1888</v>
      </c>
      <c r="CQ1393" s="584" t="s">
        <v>5014</v>
      </c>
      <c r="CR1393" s="584" t="s">
        <v>5014</v>
      </c>
      <c r="CS1393" s="584" t="s">
        <v>1978</v>
      </c>
      <c r="CT1393" s="584" t="s">
        <v>1979</v>
      </c>
      <c r="CU1393" s="584" t="s">
        <v>1892</v>
      </c>
      <c r="CV1393" s="585" t="s">
        <v>1980</v>
      </c>
    </row>
    <row r="1394" spans="91:100" x14ac:dyDescent="0.25">
      <c r="CM1394" s="582"/>
      <c r="CN1394" s="584" t="s">
        <v>5015</v>
      </c>
      <c r="CO1394" s="584" t="s">
        <v>1911</v>
      </c>
      <c r="CP1394" s="584" t="s">
        <v>1888</v>
      </c>
      <c r="CQ1394" s="584" t="s">
        <v>5016</v>
      </c>
      <c r="CR1394" s="584" t="s">
        <v>5016</v>
      </c>
      <c r="CS1394" s="584" t="s">
        <v>1890</v>
      </c>
      <c r="CT1394" s="584" t="s">
        <v>4993</v>
      </c>
      <c r="CU1394" s="584" t="s">
        <v>1892</v>
      </c>
      <c r="CV1394" s="585" t="s">
        <v>1893</v>
      </c>
    </row>
    <row r="1395" spans="91:100" x14ac:dyDescent="0.25">
      <c r="CM1395" s="582"/>
      <c r="CN1395" s="584" t="s">
        <v>5017</v>
      </c>
      <c r="CO1395" s="584" t="s">
        <v>1911</v>
      </c>
      <c r="CP1395" s="584" t="s">
        <v>1888</v>
      </c>
      <c r="CQ1395" s="584" t="s">
        <v>5018</v>
      </c>
      <c r="CR1395" s="584" t="s">
        <v>5019</v>
      </c>
      <c r="CS1395" s="584" t="s">
        <v>1890</v>
      </c>
      <c r="CT1395" s="584" t="s">
        <v>4993</v>
      </c>
      <c r="CU1395" s="584" t="s">
        <v>1892</v>
      </c>
      <c r="CV1395" s="585" t="s">
        <v>1893</v>
      </c>
    </row>
    <row r="1396" spans="91:100" x14ac:dyDescent="0.25">
      <c r="CM1396" s="582"/>
      <c r="CN1396" s="584" t="s">
        <v>5020</v>
      </c>
      <c r="CO1396" s="584" t="s">
        <v>1911</v>
      </c>
      <c r="CP1396" s="584" t="s">
        <v>1888</v>
      </c>
      <c r="CQ1396" s="584" t="s">
        <v>5021</v>
      </c>
      <c r="CR1396" s="584" t="s">
        <v>5021</v>
      </c>
      <c r="CS1396" s="584" t="s">
        <v>1890</v>
      </c>
      <c r="CT1396" s="584" t="s">
        <v>4993</v>
      </c>
      <c r="CU1396" s="584" t="s">
        <v>1892</v>
      </c>
      <c r="CV1396" s="585" t="s">
        <v>1893</v>
      </c>
    </row>
    <row r="1397" spans="91:100" x14ac:dyDescent="0.25">
      <c r="CM1397" s="582"/>
      <c r="CN1397" s="584" t="s">
        <v>5022</v>
      </c>
      <c r="CO1397" s="584" t="s">
        <v>1911</v>
      </c>
      <c r="CP1397" s="584" t="s">
        <v>1888</v>
      </c>
      <c r="CQ1397" s="584" t="s">
        <v>5023</v>
      </c>
      <c r="CR1397" s="584" t="s">
        <v>5023</v>
      </c>
      <c r="CS1397" s="584" t="s">
        <v>1978</v>
      </c>
      <c r="CT1397" s="584" t="s">
        <v>1979</v>
      </c>
      <c r="CU1397" s="584" t="s">
        <v>1892</v>
      </c>
      <c r="CV1397" s="585" t="s">
        <v>1980</v>
      </c>
    </row>
    <row r="1398" spans="91:100" x14ac:dyDescent="0.25">
      <c r="CM1398" s="582"/>
      <c r="CN1398" s="584" t="s">
        <v>5024</v>
      </c>
      <c r="CO1398" s="584" t="s">
        <v>1911</v>
      </c>
      <c r="CP1398" s="584" t="s">
        <v>1888</v>
      </c>
      <c r="CQ1398" s="584" t="s">
        <v>5025</v>
      </c>
      <c r="CR1398" s="584" t="s">
        <v>5025</v>
      </c>
      <c r="CS1398" s="584" t="s">
        <v>1890</v>
      </c>
      <c r="CT1398" s="584" t="s">
        <v>4993</v>
      </c>
      <c r="CU1398" s="584" t="s">
        <v>1892</v>
      </c>
      <c r="CV1398" s="585" t="s">
        <v>1893</v>
      </c>
    </row>
    <row r="1399" spans="91:100" x14ac:dyDescent="0.25">
      <c r="CM1399" s="582"/>
      <c r="CN1399" s="584" t="s">
        <v>5026</v>
      </c>
      <c r="CO1399" s="584" t="s">
        <v>1911</v>
      </c>
      <c r="CP1399" s="584" t="s">
        <v>1888</v>
      </c>
      <c r="CQ1399" s="584" t="s">
        <v>5027</v>
      </c>
      <c r="CR1399" s="584" t="s">
        <v>5028</v>
      </c>
      <c r="CS1399" s="584" t="s">
        <v>1890</v>
      </c>
      <c r="CT1399" s="584" t="s">
        <v>4993</v>
      </c>
      <c r="CU1399" s="584" t="s">
        <v>1892</v>
      </c>
      <c r="CV1399" s="585" t="s">
        <v>1893</v>
      </c>
    </row>
    <row r="1400" spans="91:100" x14ac:dyDescent="0.25">
      <c r="CM1400" s="582"/>
      <c r="CN1400" s="584" t="s">
        <v>5029</v>
      </c>
      <c r="CO1400" s="584" t="s">
        <v>1911</v>
      </c>
      <c r="CP1400" s="584" t="s">
        <v>1888</v>
      </c>
      <c r="CQ1400" s="584" t="s">
        <v>5030</v>
      </c>
      <c r="CR1400" s="584" t="s">
        <v>5031</v>
      </c>
      <c r="CS1400" s="584" t="s">
        <v>1890</v>
      </c>
      <c r="CT1400" s="584" t="s">
        <v>4993</v>
      </c>
      <c r="CU1400" s="584" t="s">
        <v>1892</v>
      </c>
      <c r="CV1400" s="585" t="s">
        <v>1893</v>
      </c>
    </row>
    <row r="1401" spans="91:100" x14ac:dyDescent="0.25">
      <c r="CM1401" s="582"/>
      <c r="CN1401" s="584" t="s">
        <v>5032</v>
      </c>
      <c r="CO1401" s="584" t="s">
        <v>1911</v>
      </c>
      <c r="CP1401" s="584" t="s">
        <v>1888</v>
      </c>
      <c r="CQ1401" s="584" t="s">
        <v>5033</v>
      </c>
      <c r="CR1401" s="584" t="s">
        <v>5033</v>
      </c>
      <c r="CS1401" s="584" t="s">
        <v>1890</v>
      </c>
      <c r="CT1401" s="584" t="s">
        <v>4993</v>
      </c>
      <c r="CU1401" s="584" t="s">
        <v>1892</v>
      </c>
      <c r="CV1401" s="585" t="s">
        <v>1893</v>
      </c>
    </row>
    <row r="1402" spans="91:100" x14ac:dyDescent="0.25">
      <c r="CM1402" s="582"/>
      <c r="CN1402" s="584" t="s">
        <v>5034</v>
      </c>
      <c r="CO1402" s="584" t="s">
        <v>1911</v>
      </c>
      <c r="CP1402" s="584" t="s">
        <v>1888</v>
      </c>
      <c r="CQ1402" s="584" t="s">
        <v>5035</v>
      </c>
      <c r="CR1402" s="584" t="s">
        <v>5036</v>
      </c>
      <c r="CS1402" s="584" t="s">
        <v>1890</v>
      </c>
      <c r="CT1402" s="584" t="s">
        <v>4993</v>
      </c>
      <c r="CU1402" s="584" t="s">
        <v>1892</v>
      </c>
      <c r="CV1402" s="585" t="s">
        <v>1893</v>
      </c>
    </row>
    <row r="1403" spans="91:100" x14ac:dyDescent="0.25">
      <c r="CM1403" s="582"/>
      <c r="CN1403" s="584" t="s">
        <v>5037</v>
      </c>
      <c r="CO1403" s="584" t="s">
        <v>1911</v>
      </c>
      <c r="CP1403" s="584" t="s">
        <v>1888</v>
      </c>
      <c r="CQ1403" s="584" t="s">
        <v>5038</v>
      </c>
      <c r="CR1403" s="584" t="s">
        <v>5039</v>
      </c>
      <c r="CS1403" s="584" t="s">
        <v>1890</v>
      </c>
      <c r="CT1403" s="584" t="s">
        <v>4993</v>
      </c>
      <c r="CU1403" s="584" t="s">
        <v>1892</v>
      </c>
      <c r="CV1403" s="585" t="s">
        <v>1893</v>
      </c>
    </row>
    <row r="1404" spans="91:100" x14ac:dyDescent="0.25">
      <c r="CM1404" s="582"/>
      <c r="CN1404" s="584" t="s">
        <v>5040</v>
      </c>
      <c r="CO1404" s="584" t="s">
        <v>1911</v>
      </c>
      <c r="CP1404" s="584" t="s">
        <v>1888</v>
      </c>
      <c r="CQ1404" s="584" t="s">
        <v>5041</v>
      </c>
      <c r="CR1404" s="584" t="s">
        <v>5041</v>
      </c>
      <c r="CS1404" s="584" t="s">
        <v>1890</v>
      </c>
      <c r="CT1404" s="584" t="s">
        <v>4993</v>
      </c>
      <c r="CU1404" s="584" t="s">
        <v>1892</v>
      </c>
      <c r="CV1404" s="585" t="s">
        <v>1893</v>
      </c>
    </row>
    <row r="1405" spans="91:100" x14ac:dyDescent="0.25">
      <c r="CM1405" s="582"/>
      <c r="CN1405" s="584" t="s">
        <v>5042</v>
      </c>
      <c r="CO1405" s="584" t="s">
        <v>799</v>
      </c>
      <c r="CP1405" s="584" t="s">
        <v>1888</v>
      </c>
      <c r="CQ1405" s="584" t="s">
        <v>5043</v>
      </c>
      <c r="CR1405" s="584" t="s">
        <v>5043</v>
      </c>
      <c r="CS1405" s="584" t="s">
        <v>1890</v>
      </c>
      <c r="CT1405" s="584" t="s">
        <v>5044</v>
      </c>
      <c r="CU1405" s="584" t="s">
        <v>1892</v>
      </c>
      <c r="CV1405" s="585" t="s">
        <v>1893</v>
      </c>
    </row>
    <row r="1406" spans="91:100" x14ac:dyDescent="0.25">
      <c r="CM1406" s="582"/>
      <c r="CN1406" s="584" t="s">
        <v>5045</v>
      </c>
      <c r="CO1406" s="584" t="s">
        <v>799</v>
      </c>
      <c r="CP1406" s="584" t="s">
        <v>1888</v>
      </c>
      <c r="CQ1406" s="584" t="s">
        <v>5046</v>
      </c>
      <c r="CR1406" s="584" t="s">
        <v>5047</v>
      </c>
      <c r="CS1406" s="584" t="s">
        <v>1890</v>
      </c>
      <c r="CT1406" s="584" t="s">
        <v>5044</v>
      </c>
      <c r="CU1406" s="584" t="s">
        <v>1892</v>
      </c>
      <c r="CV1406" s="585" t="s">
        <v>1893</v>
      </c>
    </row>
    <row r="1407" spans="91:100" x14ac:dyDescent="0.25">
      <c r="CM1407" s="582"/>
      <c r="CN1407" s="584" t="s">
        <v>5048</v>
      </c>
      <c r="CO1407" s="584" t="s">
        <v>799</v>
      </c>
      <c r="CP1407" s="584" t="s">
        <v>1888</v>
      </c>
      <c r="CQ1407" s="584" t="s">
        <v>5049</v>
      </c>
      <c r="CR1407" s="584" t="s">
        <v>5050</v>
      </c>
      <c r="CS1407" s="584" t="s">
        <v>1890</v>
      </c>
      <c r="CT1407" s="584" t="s">
        <v>5044</v>
      </c>
      <c r="CU1407" s="584" t="s">
        <v>1892</v>
      </c>
      <c r="CV1407" s="585" t="s">
        <v>1893</v>
      </c>
    </row>
    <row r="1408" spans="91:100" x14ac:dyDescent="0.25">
      <c r="CM1408" s="582"/>
      <c r="CN1408" s="584" t="s">
        <v>5051</v>
      </c>
      <c r="CO1408" s="584" t="s">
        <v>799</v>
      </c>
      <c r="CP1408" s="584" t="s">
        <v>1888</v>
      </c>
      <c r="CQ1408" s="584" t="s">
        <v>5052</v>
      </c>
      <c r="CR1408" s="584" t="s">
        <v>5052</v>
      </c>
      <c r="CS1408" s="584" t="s">
        <v>1890</v>
      </c>
      <c r="CT1408" s="584" t="s">
        <v>5044</v>
      </c>
      <c r="CU1408" s="584" t="s">
        <v>1892</v>
      </c>
      <c r="CV1408" s="585" t="s">
        <v>1893</v>
      </c>
    </row>
    <row r="1409" spans="91:100" x14ac:dyDescent="0.25">
      <c r="CM1409" s="582"/>
      <c r="CN1409" s="584" t="s">
        <v>5053</v>
      </c>
      <c r="CO1409" s="584" t="s">
        <v>799</v>
      </c>
      <c r="CP1409" s="584" t="s">
        <v>1888</v>
      </c>
      <c r="CQ1409" s="584" t="s">
        <v>5054</v>
      </c>
      <c r="CR1409" s="584" t="s">
        <v>5055</v>
      </c>
      <c r="CS1409" s="584" t="s">
        <v>1890</v>
      </c>
      <c r="CT1409" s="584" t="s">
        <v>5044</v>
      </c>
      <c r="CU1409" s="584" t="s">
        <v>1892</v>
      </c>
      <c r="CV1409" s="585" t="s">
        <v>1893</v>
      </c>
    </row>
    <row r="1410" spans="91:100" x14ac:dyDescent="0.25">
      <c r="CM1410" s="582"/>
      <c r="CN1410" s="584" t="s">
        <v>5056</v>
      </c>
      <c r="CO1410" s="584" t="s">
        <v>799</v>
      </c>
      <c r="CP1410" s="584" t="s">
        <v>1888</v>
      </c>
      <c r="CQ1410" s="584" t="s">
        <v>5057</v>
      </c>
      <c r="CR1410" s="584" t="s">
        <v>5057</v>
      </c>
      <c r="CS1410" s="584" t="s">
        <v>1890</v>
      </c>
      <c r="CT1410" s="584" t="s">
        <v>5044</v>
      </c>
      <c r="CU1410" s="584" t="s">
        <v>1892</v>
      </c>
      <c r="CV1410" s="585" t="s">
        <v>1893</v>
      </c>
    </row>
    <row r="1411" spans="91:100" x14ac:dyDescent="0.25">
      <c r="CM1411" s="582"/>
      <c r="CN1411" s="584" t="s">
        <v>5058</v>
      </c>
      <c r="CO1411" s="584" t="s">
        <v>799</v>
      </c>
      <c r="CP1411" s="584" t="s">
        <v>1888</v>
      </c>
      <c r="CQ1411" s="584" t="s">
        <v>5059</v>
      </c>
      <c r="CR1411" s="584" t="s">
        <v>5059</v>
      </c>
      <c r="CS1411" s="584" t="s">
        <v>1890</v>
      </c>
      <c r="CT1411" s="584" t="s">
        <v>5044</v>
      </c>
      <c r="CU1411" s="584" t="s">
        <v>1892</v>
      </c>
      <c r="CV1411" s="585" t="s">
        <v>1893</v>
      </c>
    </row>
    <row r="1412" spans="91:100" x14ac:dyDescent="0.25">
      <c r="CM1412" s="582"/>
      <c r="CN1412" s="584" t="s">
        <v>5060</v>
      </c>
      <c r="CO1412" s="584" t="s">
        <v>799</v>
      </c>
      <c r="CP1412" s="584" t="s">
        <v>1888</v>
      </c>
      <c r="CQ1412" s="584" t="s">
        <v>5061</v>
      </c>
      <c r="CR1412" s="584" t="s">
        <v>5062</v>
      </c>
      <c r="CS1412" s="584" t="s">
        <v>1890</v>
      </c>
      <c r="CT1412" s="584" t="s">
        <v>5044</v>
      </c>
      <c r="CU1412" s="584" t="s">
        <v>1892</v>
      </c>
      <c r="CV1412" s="585" t="s">
        <v>1893</v>
      </c>
    </row>
    <row r="1413" spans="91:100" x14ac:dyDescent="0.25">
      <c r="CM1413" s="582"/>
      <c r="CN1413" s="584" t="s">
        <v>5063</v>
      </c>
      <c r="CO1413" s="584" t="s">
        <v>799</v>
      </c>
      <c r="CP1413" s="584" t="s">
        <v>1888</v>
      </c>
      <c r="CQ1413" s="584" t="s">
        <v>5064</v>
      </c>
      <c r="CR1413" s="584" t="s">
        <v>5065</v>
      </c>
      <c r="CS1413" s="584" t="s">
        <v>1890</v>
      </c>
      <c r="CT1413" s="584" t="s">
        <v>5044</v>
      </c>
      <c r="CU1413" s="584" t="s">
        <v>1892</v>
      </c>
      <c r="CV1413" s="585" t="s">
        <v>1893</v>
      </c>
    </row>
    <row r="1414" spans="91:100" x14ac:dyDescent="0.25">
      <c r="CM1414" s="582"/>
      <c r="CN1414" s="584" t="s">
        <v>5066</v>
      </c>
      <c r="CO1414" s="584" t="s">
        <v>799</v>
      </c>
      <c r="CP1414" s="584" t="s">
        <v>1888</v>
      </c>
      <c r="CQ1414" s="584" t="s">
        <v>5067</v>
      </c>
      <c r="CR1414" s="584" t="s">
        <v>5067</v>
      </c>
      <c r="CS1414" s="584" t="s">
        <v>1890</v>
      </c>
      <c r="CT1414" s="584" t="s">
        <v>5044</v>
      </c>
      <c r="CU1414" s="584" t="s">
        <v>1892</v>
      </c>
      <c r="CV1414" s="585" t="s">
        <v>1893</v>
      </c>
    </row>
    <row r="1415" spans="91:100" x14ac:dyDescent="0.25">
      <c r="CM1415" s="582"/>
      <c r="CN1415" s="584" t="s">
        <v>5068</v>
      </c>
      <c r="CO1415" s="584" t="s">
        <v>799</v>
      </c>
      <c r="CP1415" s="584" t="s">
        <v>1888</v>
      </c>
      <c r="CQ1415" s="584" t="s">
        <v>5069</v>
      </c>
      <c r="CR1415" s="584" t="s">
        <v>5069</v>
      </c>
      <c r="CS1415" s="584" t="s">
        <v>1890</v>
      </c>
      <c r="CT1415" s="584" t="s">
        <v>5044</v>
      </c>
      <c r="CU1415" s="584" t="s">
        <v>1892</v>
      </c>
      <c r="CV1415" s="585" t="s">
        <v>1893</v>
      </c>
    </row>
    <row r="1416" spans="91:100" x14ac:dyDescent="0.25">
      <c r="CM1416" s="582"/>
      <c r="CN1416" s="584" t="s">
        <v>5070</v>
      </c>
      <c r="CO1416" s="584" t="s">
        <v>799</v>
      </c>
      <c r="CP1416" s="584" t="s">
        <v>1888</v>
      </c>
      <c r="CQ1416" s="584" t="s">
        <v>5071</v>
      </c>
      <c r="CR1416" s="584" t="s">
        <v>5071</v>
      </c>
      <c r="CS1416" s="584" t="s">
        <v>1890</v>
      </c>
      <c r="CT1416" s="584" t="s">
        <v>5044</v>
      </c>
      <c r="CU1416" s="584" t="s">
        <v>1892</v>
      </c>
      <c r="CV1416" s="585" t="s">
        <v>1893</v>
      </c>
    </row>
    <row r="1417" spans="91:100" x14ac:dyDescent="0.25">
      <c r="CM1417" s="582"/>
      <c r="CN1417" s="584" t="s">
        <v>5072</v>
      </c>
      <c r="CO1417" s="584" t="s">
        <v>799</v>
      </c>
      <c r="CP1417" s="584" t="s">
        <v>1888</v>
      </c>
      <c r="CQ1417" s="584" t="s">
        <v>5073</v>
      </c>
      <c r="CR1417" s="584" t="s">
        <v>5073</v>
      </c>
      <c r="CS1417" s="584" t="s">
        <v>1890</v>
      </c>
      <c r="CT1417" s="584" t="s">
        <v>5044</v>
      </c>
      <c r="CU1417" s="584" t="s">
        <v>1892</v>
      </c>
      <c r="CV1417" s="585" t="s">
        <v>1893</v>
      </c>
    </row>
    <row r="1418" spans="91:100" x14ac:dyDescent="0.25">
      <c r="CM1418" s="582"/>
      <c r="CN1418" s="584" t="s">
        <v>5074</v>
      </c>
      <c r="CO1418" s="584" t="s">
        <v>799</v>
      </c>
      <c r="CP1418" s="584" t="s">
        <v>1888</v>
      </c>
      <c r="CQ1418" s="584" t="s">
        <v>5075</v>
      </c>
      <c r="CR1418" s="584" t="s">
        <v>5076</v>
      </c>
      <c r="CS1418" s="584" t="s">
        <v>1890</v>
      </c>
      <c r="CT1418" s="584" t="s">
        <v>5044</v>
      </c>
      <c r="CU1418" s="584" t="s">
        <v>1892</v>
      </c>
      <c r="CV1418" s="585" t="s">
        <v>1893</v>
      </c>
    </row>
    <row r="1419" spans="91:100" x14ac:dyDescent="0.25">
      <c r="CM1419" s="582"/>
      <c r="CN1419" s="584" t="s">
        <v>5077</v>
      </c>
      <c r="CO1419" s="584" t="s">
        <v>799</v>
      </c>
      <c r="CP1419" s="584" t="s">
        <v>1888</v>
      </c>
      <c r="CQ1419" s="584" t="s">
        <v>5078</v>
      </c>
      <c r="CR1419" s="584" t="s">
        <v>5078</v>
      </c>
      <c r="CS1419" s="584" t="s">
        <v>1890</v>
      </c>
      <c r="CT1419" s="584" t="s">
        <v>5044</v>
      </c>
      <c r="CU1419" s="584" t="s">
        <v>1892</v>
      </c>
      <c r="CV1419" s="585" t="s">
        <v>1893</v>
      </c>
    </row>
    <row r="1420" spans="91:100" x14ac:dyDescent="0.25">
      <c r="CM1420" s="582"/>
      <c r="CN1420" s="584" t="s">
        <v>5079</v>
      </c>
      <c r="CO1420" s="584" t="s">
        <v>799</v>
      </c>
      <c r="CP1420" s="584" t="s">
        <v>1888</v>
      </c>
      <c r="CQ1420" s="584" t="s">
        <v>5080</v>
      </c>
      <c r="CR1420" s="584" t="s">
        <v>5080</v>
      </c>
      <c r="CS1420" s="584" t="s">
        <v>1890</v>
      </c>
      <c r="CT1420" s="584" t="s">
        <v>5044</v>
      </c>
      <c r="CU1420" s="584" t="s">
        <v>1892</v>
      </c>
      <c r="CV1420" s="585" t="s">
        <v>1893</v>
      </c>
    </row>
    <row r="1421" spans="91:100" x14ac:dyDescent="0.25">
      <c r="CM1421" s="582"/>
      <c r="CN1421" s="584" t="s">
        <v>5081</v>
      </c>
      <c r="CO1421" s="584" t="s">
        <v>799</v>
      </c>
      <c r="CP1421" s="584" t="s">
        <v>1888</v>
      </c>
      <c r="CQ1421" s="584" t="s">
        <v>5082</v>
      </c>
      <c r="CR1421" s="584" t="s">
        <v>5082</v>
      </c>
      <c r="CS1421" s="584" t="s">
        <v>1890</v>
      </c>
      <c r="CT1421" s="584" t="s">
        <v>5044</v>
      </c>
      <c r="CU1421" s="584" t="s">
        <v>1892</v>
      </c>
      <c r="CV1421" s="585" t="s">
        <v>1893</v>
      </c>
    </row>
    <row r="1422" spans="91:100" x14ac:dyDescent="0.25">
      <c r="CM1422" s="582"/>
      <c r="CN1422" s="584" t="s">
        <v>5083</v>
      </c>
      <c r="CO1422" s="584" t="s">
        <v>799</v>
      </c>
      <c r="CP1422" s="584" t="s">
        <v>1888</v>
      </c>
      <c r="CQ1422" s="584" t="s">
        <v>5084</v>
      </c>
      <c r="CR1422" s="584" t="s">
        <v>1090</v>
      </c>
      <c r="CS1422" s="584" t="s">
        <v>1890</v>
      </c>
      <c r="CT1422" s="584" t="s">
        <v>5044</v>
      </c>
      <c r="CU1422" s="584" t="s">
        <v>1892</v>
      </c>
      <c r="CV1422" s="585" t="s">
        <v>1893</v>
      </c>
    </row>
    <row r="1423" spans="91:100" x14ac:dyDescent="0.25">
      <c r="CM1423" s="582"/>
      <c r="CN1423" s="584" t="s">
        <v>5085</v>
      </c>
      <c r="CO1423" s="584" t="s">
        <v>799</v>
      </c>
      <c r="CP1423" s="584" t="s">
        <v>1888</v>
      </c>
      <c r="CQ1423" s="584" t="s">
        <v>5086</v>
      </c>
      <c r="CR1423" s="584" t="s">
        <v>5087</v>
      </c>
      <c r="CS1423" s="584" t="s">
        <v>1890</v>
      </c>
      <c r="CT1423" s="584" t="s">
        <v>5044</v>
      </c>
      <c r="CU1423" s="584" t="s">
        <v>1892</v>
      </c>
      <c r="CV1423" s="585" t="s">
        <v>1893</v>
      </c>
    </row>
    <row r="1424" spans="91:100" x14ac:dyDescent="0.25">
      <c r="CM1424" s="582"/>
      <c r="CN1424" s="584" t="s">
        <v>5088</v>
      </c>
      <c r="CO1424" s="584" t="s">
        <v>799</v>
      </c>
      <c r="CP1424" s="584" t="s">
        <v>1888</v>
      </c>
      <c r="CQ1424" s="584" t="s">
        <v>5089</v>
      </c>
      <c r="CR1424" s="584" t="s">
        <v>1089</v>
      </c>
      <c r="CS1424" s="584" t="s">
        <v>1890</v>
      </c>
      <c r="CT1424" s="584" t="s">
        <v>5044</v>
      </c>
      <c r="CU1424" s="584" t="s">
        <v>1892</v>
      </c>
      <c r="CV1424" s="585" t="s">
        <v>1893</v>
      </c>
    </row>
    <row r="1425" spans="91:100" x14ac:dyDescent="0.25">
      <c r="CM1425" s="582"/>
      <c r="CN1425" s="584" t="s">
        <v>5090</v>
      </c>
      <c r="CO1425" s="584" t="s">
        <v>799</v>
      </c>
      <c r="CP1425" s="584" t="s">
        <v>1888</v>
      </c>
      <c r="CQ1425" s="584" t="s">
        <v>5091</v>
      </c>
      <c r="CR1425" s="584" t="s">
        <v>5092</v>
      </c>
      <c r="CS1425" s="584" t="s">
        <v>1890</v>
      </c>
      <c r="CT1425" s="584" t="s">
        <v>5044</v>
      </c>
      <c r="CU1425" s="584" t="s">
        <v>1892</v>
      </c>
      <c r="CV1425" s="585" t="s">
        <v>1893</v>
      </c>
    </row>
    <row r="1426" spans="91:100" x14ac:dyDescent="0.25">
      <c r="CM1426" s="582"/>
      <c r="CN1426" s="584" t="s">
        <v>5093</v>
      </c>
      <c r="CO1426" s="584" t="s">
        <v>799</v>
      </c>
      <c r="CP1426" s="584" t="s">
        <v>1888</v>
      </c>
      <c r="CQ1426" s="584" t="s">
        <v>1096</v>
      </c>
      <c r="CR1426" s="584" t="s">
        <v>1096</v>
      </c>
      <c r="CS1426" s="584" t="s">
        <v>1890</v>
      </c>
      <c r="CT1426" s="584" t="s">
        <v>5044</v>
      </c>
      <c r="CU1426" s="584" t="s">
        <v>1892</v>
      </c>
      <c r="CV1426" s="585" t="s">
        <v>1893</v>
      </c>
    </row>
    <row r="1427" spans="91:100" x14ac:dyDescent="0.25">
      <c r="CM1427" s="582"/>
      <c r="CN1427" s="584" t="s">
        <v>5094</v>
      </c>
      <c r="CO1427" s="584" t="s">
        <v>799</v>
      </c>
      <c r="CP1427" s="584" t="s">
        <v>1888</v>
      </c>
      <c r="CQ1427" s="584" t="s">
        <v>2574</v>
      </c>
      <c r="CR1427" s="584" t="s">
        <v>2574</v>
      </c>
      <c r="CS1427" s="584" t="s">
        <v>1890</v>
      </c>
      <c r="CT1427" s="584" t="s">
        <v>5044</v>
      </c>
      <c r="CU1427" s="584" t="s">
        <v>1892</v>
      </c>
      <c r="CV1427" s="585" t="s">
        <v>1893</v>
      </c>
    </row>
    <row r="1428" spans="91:100" x14ac:dyDescent="0.25">
      <c r="CM1428" s="582"/>
      <c r="CN1428" s="584" t="s">
        <v>5095</v>
      </c>
      <c r="CO1428" s="584" t="s">
        <v>799</v>
      </c>
      <c r="CP1428" s="584" t="s">
        <v>1888</v>
      </c>
      <c r="CQ1428" s="584" t="s">
        <v>898</v>
      </c>
      <c r="CR1428" s="584" t="s">
        <v>898</v>
      </c>
      <c r="CS1428" s="584" t="s">
        <v>1890</v>
      </c>
      <c r="CT1428" s="584" t="s">
        <v>5044</v>
      </c>
      <c r="CU1428" s="584" t="s">
        <v>1892</v>
      </c>
      <c r="CV1428" s="585" t="s">
        <v>1893</v>
      </c>
    </row>
    <row r="1429" spans="91:100" x14ac:dyDescent="0.25">
      <c r="CM1429" s="582"/>
      <c r="CN1429" s="584" t="s">
        <v>5096</v>
      </c>
      <c r="CO1429" s="584" t="s">
        <v>799</v>
      </c>
      <c r="CP1429" s="584" t="s">
        <v>1888</v>
      </c>
      <c r="CQ1429" s="584" t="s">
        <v>5097</v>
      </c>
      <c r="CR1429" s="584" t="s">
        <v>5097</v>
      </c>
      <c r="CS1429" s="584" t="s">
        <v>1978</v>
      </c>
      <c r="CT1429" s="584" t="s">
        <v>1979</v>
      </c>
      <c r="CU1429" s="584" t="s">
        <v>1892</v>
      </c>
      <c r="CV1429" s="585" t="s">
        <v>1980</v>
      </c>
    </row>
    <row r="1430" spans="91:100" x14ac:dyDescent="0.25">
      <c r="CM1430" s="582"/>
      <c r="CN1430" s="584" t="s">
        <v>5098</v>
      </c>
      <c r="CO1430" s="584" t="s">
        <v>799</v>
      </c>
      <c r="CP1430" s="584" t="s">
        <v>1888</v>
      </c>
      <c r="CQ1430" s="584" t="s">
        <v>5099</v>
      </c>
      <c r="CR1430" s="584" t="s">
        <v>5099</v>
      </c>
      <c r="CS1430" s="584" t="s">
        <v>1978</v>
      </c>
      <c r="CT1430" s="584" t="s">
        <v>1979</v>
      </c>
      <c r="CU1430" s="584" t="s">
        <v>1892</v>
      </c>
      <c r="CV1430" s="585" t="s">
        <v>1980</v>
      </c>
    </row>
    <row r="1431" spans="91:100" x14ac:dyDescent="0.25">
      <c r="CM1431" s="582"/>
      <c r="CN1431" s="584" t="s">
        <v>5100</v>
      </c>
      <c r="CO1431" s="584" t="s">
        <v>799</v>
      </c>
      <c r="CP1431" s="584" t="s">
        <v>1888</v>
      </c>
      <c r="CQ1431" s="584" t="s">
        <v>5101</v>
      </c>
      <c r="CR1431" s="584" t="s">
        <v>5101</v>
      </c>
      <c r="CS1431" s="584" t="s">
        <v>1978</v>
      </c>
      <c r="CT1431" s="584" t="s">
        <v>1979</v>
      </c>
      <c r="CU1431" s="584" t="s">
        <v>1892</v>
      </c>
      <c r="CV1431" s="585" t="s">
        <v>1980</v>
      </c>
    </row>
    <row r="1432" spans="91:100" x14ac:dyDescent="0.25">
      <c r="CM1432" s="582"/>
      <c r="CN1432" s="584" t="s">
        <v>5102</v>
      </c>
      <c r="CO1432" s="584" t="s">
        <v>799</v>
      </c>
      <c r="CP1432" s="584" t="s">
        <v>1888</v>
      </c>
      <c r="CQ1432" s="584" t="s">
        <v>1093</v>
      </c>
      <c r="CR1432" s="584" t="s">
        <v>1093</v>
      </c>
      <c r="CS1432" s="584" t="s">
        <v>1890</v>
      </c>
      <c r="CT1432" s="584" t="s">
        <v>5044</v>
      </c>
      <c r="CU1432" s="584" t="s">
        <v>1892</v>
      </c>
      <c r="CV1432" s="585" t="s">
        <v>1893</v>
      </c>
    </row>
    <row r="1433" spans="91:100" x14ac:dyDescent="0.25">
      <c r="CM1433" s="582"/>
      <c r="CN1433" s="584" t="s">
        <v>5103</v>
      </c>
      <c r="CO1433" s="584" t="s">
        <v>799</v>
      </c>
      <c r="CP1433" s="584" t="s">
        <v>1888</v>
      </c>
      <c r="CQ1433" s="584" t="s">
        <v>5104</v>
      </c>
      <c r="CR1433" s="584" t="s">
        <v>5104</v>
      </c>
      <c r="CS1433" s="584" t="s">
        <v>1978</v>
      </c>
      <c r="CT1433" s="584" t="s">
        <v>1979</v>
      </c>
      <c r="CU1433" s="584" t="s">
        <v>1892</v>
      </c>
      <c r="CV1433" s="585" t="s">
        <v>1980</v>
      </c>
    </row>
    <row r="1434" spans="91:100" x14ac:dyDescent="0.25">
      <c r="CM1434" s="582"/>
      <c r="CN1434" s="584" t="s">
        <v>5105</v>
      </c>
      <c r="CO1434" s="584" t="s">
        <v>799</v>
      </c>
      <c r="CP1434" s="584" t="s">
        <v>1888</v>
      </c>
      <c r="CQ1434" s="584" t="s">
        <v>5106</v>
      </c>
      <c r="CR1434" s="584" t="s">
        <v>5106</v>
      </c>
      <c r="CS1434" s="584" t="s">
        <v>1978</v>
      </c>
      <c r="CT1434" s="584" t="s">
        <v>1979</v>
      </c>
      <c r="CU1434" s="584" t="s">
        <v>1892</v>
      </c>
      <c r="CV1434" s="585" t="s">
        <v>1980</v>
      </c>
    </row>
    <row r="1435" spans="91:100" x14ac:dyDescent="0.25">
      <c r="CM1435" s="582"/>
      <c r="CN1435" s="584" t="s">
        <v>5107</v>
      </c>
      <c r="CO1435" s="584" t="s">
        <v>799</v>
      </c>
      <c r="CP1435" s="584" t="s">
        <v>1888</v>
      </c>
      <c r="CQ1435" s="584" t="s">
        <v>5108</v>
      </c>
      <c r="CR1435" s="584" t="s">
        <v>5108</v>
      </c>
      <c r="CS1435" s="584" t="s">
        <v>1978</v>
      </c>
      <c r="CT1435" s="584" t="s">
        <v>1979</v>
      </c>
      <c r="CU1435" s="584" t="s">
        <v>1892</v>
      </c>
      <c r="CV1435" s="585" t="s">
        <v>1980</v>
      </c>
    </row>
    <row r="1436" spans="91:100" x14ac:dyDescent="0.25">
      <c r="CM1436" s="582"/>
      <c r="CN1436" s="584" t="s">
        <v>5109</v>
      </c>
      <c r="CO1436" s="584" t="s">
        <v>799</v>
      </c>
      <c r="CP1436" s="584" t="s">
        <v>1888</v>
      </c>
      <c r="CQ1436" s="584" t="s">
        <v>5110</v>
      </c>
      <c r="CR1436" s="584" t="s">
        <v>5110</v>
      </c>
      <c r="CS1436" s="584" t="s">
        <v>1890</v>
      </c>
      <c r="CT1436" s="584" t="s">
        <v>5044</v>
      </c>
      <c r="CU1436" s="584" t="s">
        <v>1892</v>
      </c>
      <c r="CV1436" s="585" t="s">
        <v>1893</v>
      </c>
    </row>
    <row r="1437" spans="91:100" x14ac:dyDescent="0.25">
      <c r="CM1437" s="582"/>
      <c r="CN1437" s="584" t="s">
        <v>5111</v>
      </c>
      <c r="CO1437" s="584" t="s">
        <v>799</v>
      </c>
      <c r="CP1437" s="584" t="s">
        <v>1888</v>
      </c>
      <c r="CQ1437" s="584" t="s">
        <v>900</v>
      </c>
      <c r="CR1437" s="584" t="s">
        <v>900</v>
      </c>
      <c r="CS1437" s="584" t="s">
        <v>1890</v>
      </c>
      <c r="CT1437" s="584" t="s">
        <v>5044</v>
      </c>
      <c r="CU1437" s="584" t="s">
        <v>1892</v>
      </c>
      <c r="CV1437" s="585" t="s">
        <v>1893</v>
      </c>
    </row>
    <row r="1438" spans="91:100" x14ac:dyDescent="0.25">
      <c r="CM1438" s="582"/>
      <c r="CN1438" s="584" t="s">
        <v>5112</v>
      </c>
      <c r="CO1438" s="584" t="s">
        <v>799</v>
      </c>
      <c r="CP1438" s="584" t="s">
        <v>1888</v>
      </c>
      <c r="CQ1438" s="584" t="s">
        <v>5113</v>
      </c>
      <c r="CR1438" s="584" t="s">
        <v>5113</v>
      </c>
      <c r="CS1438" s="584" t="s">
        <v>1890</v>
      </c>
      <c r="CT1438" s="584" t="s">
        <v>5044</v>
      </c>
      <c r="CU1438" s="584" t="s">
        <v>1892</v>
      </c>
      <c r="CV1438" s="585" t="s">
        <v>1893</v>
      </c>
    </row>
    <row r="1439" spans="91:100" x14ac:dyDescent="0.25">
      <c r="CM1439" s="582"/>
      <c r="CN1439" s="584" t="s">
        <v>5114</v>
      </c>
      <c r="CO1439" s="584" t="s">
        <v>799</v>
      </c>
      <c r="CP1439" s="584" t="s">
        <v>1888</v>
      </c>
      <c r="CQ1439" s="584" t="s">
        <v>897</v>
      </c>
      <c r="CR1439" s="584" t="s">
        <v>897</v>
      </c>
      <c r="CS1439" s="584" t="s">
        <v>1890</v>
      </c>
      <c r="CT1439" s="584" t="s">
        <v>5044</v>
      </c>
      <c r="CU1439" s="584" t="s">
        <v>1892</v>
      </c>
      <c r="CV1439" s="585" t="s">
        <v>1893</v>
      </c>
    </row>
    <row r="1440" spans="91:100" x14ac:dyDescent="0.25">
      <c r="CM1440" s="582"/>
      <c r="CN1440" s="584" t="s">
        <v>5115</v>
      </c>
      <c r="CO1440" s="584" t="s">
        <v>799</v>
      </c>
      <c r="CP1440" s="584" t="s">
        <v>1888</v>
      </c>
      <c r="CQ1440" s="584" t="s">
        <v>5116</v>
      </c>
      <c r="CR1440" s="584" t="s">
        <v>5117</v>
      </c>
      <c r="CS1440" s="584" t="s">
        <v>1890</v>
      </c>
      <c r="CT1440" s="584" t="s">
        <v>5044</v>
      </c>
      <c r="CU1440" s="584" t="s">
        <v>1892</v>
      </c>
      <c r="CV1440" s="585" t="s">
        <v>1893</v>
      </c>
    </row>
    <row r="1441" spans="91:100" x14ac:dyDescent="0.25">
      <c r="CM1441" s="582"/>
      <c r="CN1441" s="584" t="s">
        <v>5118</v>
      </c>
      <c r="CO1441" s="584" t="s">
        <v>799</v>
      </c>
      <c r="CP1441" s="584" t="s">
        <v>1888</v>
      </c>
      <c r="CQ1441" s="584" t="s">
        <v>5119</v>
      </c>
      <c r="CR1441" s="584" t="s">
        <v>5119</v>
      </c>
      <c r="CS1441" s="584" t="s">
        <v>1890</v>
      </c>
      <c r="CT1441" s="584" t="s">
        <v>5044</v>
      </c>
      <c r="CU1441" s="584" t="s">
        <v>1892</v>
      </c>
      <c r="CV1441" s="585" t="s">
        <v>1893</v>
      </c>
    </row>
    <row r="1442" spans="91:100" x14ac:dyDescent="0.25">
      <c r="CM1442" s="582"/>
      <c r="CN1442" s="584" t="s">
        <v>5120</v>
      </c>
      <c r="CO1442" s="584" t="s">
        <v>799</v>
      </c>
      <c r="CP1442" s="584" t="s">
        <v>1888</v>
      </c>
      <c r="CQ1442" s="584" t="s">
        <v>5121</v>
      </c>
      <c r="CR1442" s="584" t="s">
        <v>5121</v>
      </c>
      <c r="CS1442" s="584" t="s">
        <v>1890</v>
      </c>
      <c r="CT1442" s="584" t="s">
        <v>5044</v>
      </c>
      <c r="CU1442" s="584" t="s">
        <v>1892</v>
      </c>
      <c r="CV1442" s="585" t="s">
        <v>1893</v>
      </c>
    </row>
    <row r="1443" spans="91:100" x14ac:dyDescent="0.25">
      <c r="CM1443" s="582"/>
      <c r="CN1443" s="584" t="s">
        <v>5122</v>
      </c>
      <c r="CO1443" s="584" t="s">
        <v>799</v>
      </c>
      <c r="CP1443" s="584" t="s">
        <v>2325</v>
      </c>
      <c r="CQ1443" s="584" t="s">
        <v>5123</v>
      </c>
      <c r="CR1443" s="584" t="s">
        <v>5124</v>
      </c>
      <c r="CS1443" s="584" t="s">
        <v>1890</v>
      </c>
      <c r="CT1443" s="584" t="s">
        <v>5125</v>
      </c>
      <c r="CU1443" s="584" t="s">
        <v>1892</v>
      </c>
      <c r="CV1443" s="585" t="s">
        <v>1893</v>
      </c>
    </row>
    <row r="1444" spans="91:100" x14ac:dyDescent="0.25">
      <c r="CM1444" s="582"/>
      <c r="CN1444" s="584" t="s">
        <v>5126</v>
      </c>
      <c r="CO1444" s="584" t="s">
        <v>799</v>
      </c>
      <c r="CP1444" s="584" t="s">
        <v>2325</v>
      </c>
      <c r="CQ1444" s="584" t="s">
        <v>5127</v>
      </c>
      <c r="CR1444" s="584" t="s">
        <v>5128</v>
      </c>
      <c r="CS1444" s="584" t="s">
        <v>1890</v>
      </c>
      <c r="CT1444" s="584" t="s">
        <v>5125</v>
      </c>
      <c r="CU1444" s="584" t="s">
        <v>1892</v>
      </c>
      <c r="CV1444" s="585" t="s">
        <v>1893</v>
      </c>
    </row>
    <row r="1445" spans="91:100" x14ac:dyDescent="0.25">
      <c r="CM1445" s="582"/>
      <c r="CN1445" s="584" t="s">
        <v>5129</v>
      </c>
      <c r="CO1445" s="584" t="s">
        <v>799</v>
      </c>
      <c r="CP1445" s="584" t="s">
        <v>2535</v>
      </c>
      <c r="CQ1445" s="584" t="s">
        <v>5130</v>
      </c>
      <c r="CR1445" s="584" t="s">
        <v>5130</v>
      </c>
      <c r="CS1445" s="584" t="s">
        <v>1890</v>
      </c>
      <c r="CT1445" s="584" t="s">
        <v>4970</v>
      </c>
      <c r="CU1445" s="584" t="s">
        <v>1892</v>
      </c>
      <c r="CV1445" s="585" t="s">
        <v>1893</v>
      </c>
    </row>
    <row r="1446" spans="91:100" x14ac:dyDescent="0.25">
      <c r="CM1446" s="582"/>
      <c r="CN1446" s="584" t="s">
        <v>5131</v>
      </c>
      <c r="CO1446" s="584" t="s">
        <v>799</v>
      </c>
      <c r="CP1446" s="584" t="s">
        <v>2535</v>
      </c>
      <c r="CQ1446" s="584" t="s">
        <v>5132</v>
      </c>
      <c r="CR1446" s="584" t="s">
        <v>5132</v>
      </c>
      <c r="CS1446" s="584" t="s">
        <v>1890</v>
      </c>
      <c r="CT1446" s="584" t="s">
        <v>4970</v>
      </c>
      <c r="CU1446" s="584" t="s">
        <v>1892</v>
      </c>
      <c r="CV1446" s="585" t="s">
        <v>1893</v>
      </c>
    </row>
    <row r="1447" spans="91:100" x14ac:dyDescent="0.25">
      <c r="CM1447" s="582"/>
      <c r="CN1447" s="584" t="s">
        <v>5133</v>
      </c>
      <c r="CO1447" s="584" t="s">
        <v>799</v>
      </c>
      <c r="CP1447" s="584" t="s">
        <v>2535</v>
      </c>
      <c r="CQ1447" s="584" t="s">
        <v>5134</v>
      </c>
      <c r="CR1447" s="584" t="s">
        <v>5134</v>
      </c>
      <c r="CS1447" s="584" t="s">
        <v>1890</v>
      </c>
      <c r="CT1447" s="584" t="s">
        <v>4970</v>
      </c>
      <c r="CU1447" s="584" t="s">
        <v>1892</v>
      </c>
      <c r="CV1447" s="585" t="s">
        <v>1893</v>
      </c>
    </row>
    <row r="1448" spans="91:100" x14ac:dyDescent="0.25">
      <c r="CM1448" s="582"/>
      <c r="CN1448" s="584" t="s">
        <v>5135</v>
      </c>
      <c r="CO1448" s="584" t="s">
        <v>799</v>
      </c>
      <c r="CP1448" s="584" t="s">
        <v>2535</v>
      </c>
      <c r="CQ1448" s="584" t="s">
        <v>2554</v>
      </c>
      <c r="CR1448" s="584" t="s">
        <v>2554</v>
      </c>
      <c r="CS1448" s="584" t="s">
        <v>1890</v>
      </c>
      <c r="CT1448" s="584" t="s">
        <v>4970</v>
      </c>
      <c r="CU1448" s="584" t="s">
        <v>1892</v>
      </c>
      <c r="CV1448" s="585" t="s">
        <v>1893</v>
      </c>
    </row>
    <row r="1449" spans="91:100" x14ac:dyDescent="0.25">
      <c r="CM1449" s="582"/>
      <c r="CN1449" s="584" t="s">
        <v>5136</v>
      </c>
      <c r="CO1449" s="584" t="s">
        <v>799</v>
      </c>
      <c r="CP1449" s="584" t="s">
        <v>2535</v>
      </c>
      <c r="CQ1449" s="584" t="s">
        <v>5137</v>
      </c>
      <c r="CR1449" s="584" t="s">
        <v>5138</v>
      </c>
      <c r="CS1449" s="584" t="s">
        <v>1890</v>
      </c>
      <c r="CT1449" s="584" t="s">
        <v>4970</v>
      </c>
      <c r="CU1449" s="584" t="s">
        <v>1892</v>
      </c>
      <c r="CV1449" s="585" t="s">
        <v>1893</v>
      </c>
    </row>
    <row r="1450" spans="91:100" x14ac:dyDescent="0.25">
      <c r="CM1450" s="582"/>
      <c r="CN1450" s="584" t="s">
        <v>5139</v>
      </c>
      <c r="CO1450" s="584" t="s">
        <v>799</v>
      </c>
      <c r="CP1450" s="584" t="s">
        <v>2535</v>
      </c>
      <c r="CQ1450" s="584" t="s">
        <v>2063</v>
      </c>
      <c r="CR1450" s="584" t="s">
        <v>2063</v>
      </c>
      <c r="CS1450" s="584" t="s">
        <v>1890</v>
      </c>
      <c r="CT1450" s="584" t="s">
        <v>4970</v>
      </c>
      <c r="CU1450" s="584" t="s">
        <v>1892</v>
      </c>
      <c r="CV1450" s="585" t="s">
        <v>1893</v>
      </c>
    </row>
    <row r="1451" spans="91:100" x14ac:dyDescent="0.25">
      <c r="CM1451" s="582"/>
      <c r="CN1451" s="584" t="s">
        <v>5140</v>
      </c>
      <c r="CO1451" s="584" t="s">
        <v>799</v>
      </c>
      <c r="CP1451" s="584" t="s">
        <v>2535</v>
      </c>
      <c r="CQ1451" s="584" t="s">
        <v>5141</v>
      </c>
      <c r="CR1451" s="584" t="s">
        <v>5142</v>
      </c>
      <c r="CS1451" s="584" t="s">
        <v>1890</v>
      </c>
      <c r="CT1451" s="584" t="s">
        <v>4970</v>
      </c>
      <c r="CU1451" s="584" t="s">
        <v>1892</v>
      </c>
      <c r="CV1451" s="585" t="s">
        <v>1893</v>
      </c>
    </row>
    <row r="1452" spans="91:100" x14ac:dyDescent="0.25">
      <c r="CM1452" s="582"/>
      <c r="CN1452" s="584" t="s">
        <v>5143</v>
      </c>
      <c r="CO1452" s="584" t="s">
        <v>799</v>
      </c>
      <c r="CP1452" s="584" t="s">
        <v>2535</v>
      </c>
      <c r="CQ1452" s="584" t="s">
        <v>5144</v>
      </c>
      <c r="CR1452" s="584" t="s">
        <v>5144</v>
      </c>
      <c r="CS1452" s="584" t="s">
        <v>1890</v>
      </c>
      <c r="CT1452" s="584" t="s">
        <v>4970</v>
      </c>
      <c r="CU1452" s="584" t="s">
        <v>1892</v>
      </c>
      <c r="CV1452" s="585" t="s">
        <v>1893</v>
      </c>
    </row>
    <row r="1453" spans="91:100" x14ac:dyDescent="0.25">
      <c r="CM1453" s="582"/>
      <c r="CN1453" s="584" t="s">
        <v>5145</v>
      </c>
      <c r="CO1453" s="584" t="s">
        <v>799</v>
      </c>
      <c r="CP1453" s="584" t="s">
        <v>2535</v>
      </c>
      <c r="CQ1453" s="584" t="s">
        <v>5146</v>
      </c>
      <c r="CR1453" s="584" t="s">
        <v>5146</v>
      </c>
      <c r="CS1453" s="584" t="s">
        <v>1890</v>
      </c>
      <c r="CT1453" s="584" t="s">
        <v>4970</v>
      </c>
      <c r="CU1453" s="584" t="s">
        <v>1892</v>
      </c>
      <c r="CV1453" s="585" t="s">
        <v>1893</v>
      </c>
    </row>
    <row r="1454" spans="91:100" x14ac:dyDescent="0.25">
      <c r="CM1454" s="582"/>
      <c r="CN1454" s="584" t="s">
        <v>5147</v>
      </c>
      <c r="CO1454" s="584" t="s">
        <v>799</v>
      </c>
      <c r="CP1454" s="584" t="s">
        <v>2535</v>
      </c>
      <c r="CQ1454" s="584" t="s">
        <v>5148</v>
      </c>
      <c r="CR1454" s="584" t="s">
        <v>5148</v>
      </c>
      <c r="CS1454" s="584" t="s">
        <v>1890</v>
      </c>
      <c r="CT1454" s="584" t="s">
        <v>4970</v>
      </c>
      <c r="CU1454" s="584" t="s">
        <v>1892</v>
      </c>
      <c r="CV1454" s="585" t="s">
        <v>1893</v>
      </c>
    </row>
    <row r="1455" spans="91:100" x14ac:dyDescent="0.25">
      <c r="CM1455" s="582"/>
      <c r="CN1455" s="584" t="s">
        <v>5149</v>
      </c>
      <c r="CO1455" s="584" t="s">
        <v>799</v>
      </c>
      <c r="CP1455" s="584" t="s">
        <v>2535</v>
      </c>
      <c r="CQ1455" s="584" t="s">
        <v>5150</v>
      </c>
      <c r="CR1455" s="584" t="s">
        <v>5150</v>
      </c>
      <c r="CS1455" s="584" t="s">
        <v>1890</v>
      </c>
      <c r="CT1455" s="584" t="s">
        <v>4970</v>
      </c>
      <c r="CU1455" s="584" t="s">
        <v>1892</v>
      </c>
      <c r="CV1455" s="585" t="s">
        <v>1893</v>
      </c>
    </row>
    <row r="1456" spans="91:100" ht="25.5" x14ac:dyDescent="0.25">
      <c r="CM1456" s="582"/>
      <c r="CN1456" s="584" t="s">
        <v>5151</v>
      </c>
      <c r="CO1456" s="584" t="s">
        <v>1912</v>
      </c>
      <c r="CP1456" s="584" t="s">
        <v>1888</v>
      </c>
      <c r="CQ1456" s="584" t="s">
        <v>5152</v>
      </c>
      <c r="CR1456" s="584" t="s">
        <v>5152</v>
      </c>
      <c r="CS1456" s="584" t="s">
        <v>5153</v>
      </c>
      <c r="CT1456" s="584" t="s">
        <v>5154</v>
      </c>
      <c r="CU1456" s="584" t="s">
        <v>2185</v>
      </c>
      <c r="CV1456" s="585" t="s">
        <v>5155</v>
      </c>
    </row>
    <row r="1457" spans="91:100" ht="25.5" x14ac:dyDescent="0.25">
      <c r="CM1457" s="582"/>
      <c r="CN1457" s="584" t="s">
        <v>5156</v>
      </c>
      <c r="CO1457" s="584" t="s">
        <v>1912</v>
      </c>
      <c r="CP1457" s="584" t="s">
        <v>1888</v>
      </c>
      <c r="CQ1457" s="584" t="s">
        <v>5157</v>
      </c>
      <c r="CR1457" s="584" t="s">
        <v>5157</v>
      </c>
      <c r="CS1457" s="584" t="s">
        <v>5153</v>
      </c>
      <c r="CT1457" s="584" t="s">
        <v>5154</v>
      </c>
      <c r="CU1457" s="584" t="s">
        <v>2185</v>
      </c>
      <c r="CV1457" s="585" t="s">
        <v>5155</v>
      </c>
    </row>
    <row r="1458" spans="91:100" ht="25.5" x14ac:dyDescent="0.25">
      <c r="CM1458" s="582"/>
      <c r="CN1458" s="584" t="s">
        <v>5158</v>
      </c>
      <c r="CO1458" s="584" t="s">
        <v>1912</v>
      </c>
      <c r="CP1458" s="584" t="s">
        <v>1888</v>
      </c>
      <c r="CQ1458" s="584" t="s">
        <v>5159</v>
      </c>
      <c r="CR1458" s="584" t="s">
        <v>5159</v>
      </c>
      <c r="CS1458" s="584" t="s">
        <v>5153</v>
      </c>
      <c r="CT1458" s="584" t="s">
        <v>5154</v>
      </c>
      <c r="CU1458" s="584" t="s">
        <v>2185</v>
      </c>
      <c r="CV1458" s="585" t="s">
        <v>5155</v>
      </c>
    </row>
    <row r="1459" spans="91:100" ht="25.5" x14ac:dyDescent="0.25">
      <c r="CM1459" s="582"/>
      <c r="CN1459" s="584" t="s">
        <v>5160</v>
      </c>
      <c r="CO1459" s="584" t="s">
        <v>1912</v>
      </c>
      <c r="CP1459" s="584" t="s">
        <v>1888</v>
      </c>
      <c r="CQ1459" s="584" t="s">
        <v>5161</v>
      </c>
      <c r="CR1459" s="584" t="s">
        <v>5161</v>
      </c>
      <c r="CS1459" s="584" t="s">
        <v>5153</v>
      </c>
      <c r="CT1459" s="584" t="s">
        <v>5154</v>
      </c>
      <c r="CU1459" s="584" t="s">
        <v>2185</v>
      </c>
      <c r="CV1459" s="585" t="s">
        <v>5155</v>
      </c>
    </row>
    <row r="1460" spans="91:100" ht="25.5" x14ac:dyDescent="0.25">
      <c r="CM1460" s="582"/>
      <c r="CN1460" s="584" t="s">
        <v>5162</v>
      </c>
      <c r="CO1460" s="584" t="s">
        <v>1912</v>
      </c>
      <c r="CP1460" s="584" t="s">
        <v>1888</v>
      </c>
      <c r="CQ1460" s="584" t="s">
        <v>5163</v>
      </c>
      <c r="CR1460" s="584" t="s">
        <v>5163</v>
      </c>
      <c r="CS1460" s="584" t="s">
        <v>5153</v>
      </c>
      <c r="CT1460" s="584" t="s">
        <v>5154</v>
      </c>
      <c r="CU1460" s="584" t="s">
        <v>2185</v>
      </c>
      <c r="CV1460" s="585" t="s">
        <v>5155</v>
      </c>
    </row>
    <row r="1461" spans="91:100" ht="25.5" x14ac:dyDescent="0.25">
      <c r="CM1461" s="582"/>
      <c r="CN1461" s="584" t="s">
        <v>5164</v>
      </c>
      <c r="CO1461" s="584" t="s">
        <v>1912</v>
      </c>
      <c r="CP1461" s="584" t="s">
        <v>1888</v>
      </c>
      <c r="CQ1461" s="584" t="s">
        <v>5165</v>
      </c>
      <c r="CR1461" s="584" t="s">
        <v>5165</v>
      </c>
      <c r="CS1461" s="584" t="s">
        <v>5153</v>
      </c>
      <c r="CT1461" s="584" t="s">
        <v>5154</v>
      </c>
      <c r="CU1461" s="584" t="s">
        <v>2185</v>
      </c>
      <c r="CV1461" s="585" t="s">
        <v>5155</v>
      </c>
    </row>
    <row r="1462" spans="91:100" x14ac:dyDescent="0.25">
      <c r="CM1462" s="582"/>
      <c r="CN1462" s="584" t="s">
        <v>5166</v>
      </c>
      <c r="CO1462" s="584" t="s">
        <v>1912</v>
      </c>
      <c r="CP1462" s="584" t="s">
        <v>1888</v>
      </c>
      <c r="CQ1462" s="584" t="s">
        <v>5167</v>
      </c>
      <c r="CR1462" s="584" t="s">
        <v>5167</v>
      </c>
      <c r="CS1462" s="584" t="s">
        <v>1890</v>
      </c>
      <c r="CT1462" s="584" t="s">
        <v>5168</v>
      </c>
      <c r="CU1462" s="584" t="s">
        <v>1892</v>
      </c>
      <c r="CV1462" s="585" t="s">
        <v>1893</v>
      </c>
    </row>
    <row r="1463" spans="91:100" ht="25.5" x14ac:dyDescent="0.25">
      <c r="CM1463" s="582"/>
      <c r="CN1463" s="584" t="s">
        <v>5169</v>
      </c>
      <c r="CO1463" s="584" t="s">
        <v>1912</v>
      </c>
      <c r="CP1463" s="584" t="s">
        <v>1888</v>
      </c>
      <c r="CQ1463" s="584" t="s">
        <v>5170</v>
      </c>
      <c r="CR1463" s="584" t="s">
        <v>5170</v>
      </c>
      <c r="CS1463" s="584" t="s">
        <v>5153</v>
      </c>
      <c r="CT1463" s="584" t="s">
        <v>5154</v>
      </c>
      <c r="CU1463" s="584" t="s">
        <v>2185</v>
      </c>
      <c r="CV1463" s="585" t="s">
        <v>5155</v>
      </c>
    </row>
    <row r="1464" spans="91:100" x14ac:dyDescent="0.25">
      <c r="CM1464" s="582"/>
      <c r="CN1464" s="584" t="s">
        <v>5171</v>
      </c>
      <c r="CO1464" s="584" t="s">
        <v>1912</v>
      </c>
      <c r="CP1464" s="584" t="s">
        <v>1888</v>
      </c>
      <c r="CQ1464" s="584" t="s">
        <v>5172</v>
      </c>
      <c r="CR1464" s="584" t="s">
        <v>5172</v>
      </c>
      <c r="CS1464" s="584" t="s">
        <v>1978</v>
      </c>
      <c r="CT1464" s="584" t="s">
        <v>1979</v>
      </c>
      <c r="CU1464" s="584" t="s">
        <v>1892</v>
      </c>
      <c r="CV1464" s="585" t="s">
        <v>1980</v>
      </c>
    </row>
    <row r="1465" spans="91:100" ht="25.5" x14ac:dyDescent="0.25">
      <c r="CM1465" s="582"/>
      <c r="CN1465" s="584" t="s">
        <v>5173</v>
      </c>
      <c r="CO1465" s="584" t="s">
        <v>1912</v>
      </c>
      <c r="CP1465" s="584" t="s">
        <v>1888</v>
      </c>
      <c r="CQ1465" s="584" t="s">
        <v>5174</v>
      </c>
      <c r="CR1465" s="584" t="s">
        <v>5174</v>
      </c>
      <c r="CS1465" s="584" t="s">
        <v>5153</v>
      </c>
      <c r="CT1465" s="584" t="s">
        <v>5154</v>
      </c>
      <c r="CU1465" s="584" t="s">
        <v>2185</v>
      </c>
      <c r="CV1465" s="585" t="s">
        <v>5155</v>
      </c>
    </row>
    <row r="1466" spans="91:100" x14ac:dyDescent="0.25">
      <c r="CM1466" s="582"/>
      <c r="CN1466" s="584" t="s">
        <v>5175</v>
      </c>
      <c r="CO1466" s="584" t="s">
        <v>1912</v>
      </c>
      <c r="CP1466" s="584" t="s">
        <v>1888</v>
      </c>
      <c r="CQ1466" s="584" t="s">
        <v>5176</v>
      </c>
      <c r="CR1466" s="584" t="s">
        <v>5176</v>
      </c>
      <c r="CS1466" s="584" t="s">
        <v>1890</v>
      </c>
      <c r="CT1466" s="584" t="s">
        <v>5168</v>
      </c>
      <c r="CU1466" s="584" t="s">
        <v>1892</v>
      </c>
      <c r="CV1466" s="585" t="s">
        <v>1893</v>
      </c>
    </row>
    <row r="1467" spans="91:100" ht="25.5" x14ac:dyDescent="0.25">
      <c r="CM1467" s="582"/>
      <c r="CN1467" s="584" t="s">
        <v>5177</v>
      </c>
      <c r="CO1467" s="584" t="s">
        <v>1912</v>
      </c>
      <c r="CP1467" s="584" t="s">
        <v>1888</v>
      </c>
      <c r="CQ1467" s="584" t="s">
        <v>5178</v>
      </c>
      <c r="CR1467" s="584" t="s">
        <v>5178</v>
      </c>
      <c r="CS1467" s="584" t="s">
        <v>5153</v>
      </c>
      <c r="CT1467" s="584" t="s">
        <v>5154</v>
      </c>
      <c r="CU1467" s="584" t="s">
        <v>2185</v>
      </c>
      <c r="CV1467" s="585" t="s">
        <v>5155</v>
      </c>
    </row>
    <row r="1468" spans="91:100" x14ac:dyDescent="0.25">
      <c r="CM1468" s="582"/>
      <c r="CN1468" s="584" t="s">
        <v>5179</v>
      </c>
      <c r="CO1468" s="584" t="s">
        <v>1912</v>
      </c>
      <c r="CP1468" s="584" t="s">
        <v>1888</v>
      </c>
      <c r="CQ1468" s="584" t="s">
        <v>5180</v>
      </c>
      <c r="CR1468" s="584" t="s">
        <v>5180</v>
      </c>
      <c r="CS1468" s="584" t="s">
        <v>1890</v>
      </c>
      <c r="CT1468" s="584" t="s">
        <v>5168</v>
      </c>
      <c r="CU1468" s="584" t="s">
        <v>1892</v>
      </c>
      <c r="CV1468" s="585" t="s">
        <v>1893</v>
      </c>
    </row>
    <row r="1469" spans="91:100" ht="25.5" x14ac:dyDescent="0.25">
      <c r="CM1469" s="582"/>
      <c r="CN1469" s="584" t="s">
        <v>5181</v>
      </c>
      <c r="CO1469" s="584" t="s">
        <v>1912</v>
      </c>
      <c r="CP1469" s="584" t="s">
        <v>1888</v>
      </c>
      <c r="CQ1469" s="584" t="s">
        <v>5182</v>
      </c>
      <c r="CR1469" s="584" t="s">
        <v>5182</v>
      </c>
      <c r="CS1469" s="584" t="s">
        <v>5153</v>
      </c>
      <c r="CT1469" s="584" t="s">
        <v>5154</v>
      </c>
      <c r="CU1469" s="584" t="s">
        <v>2185</v>
      </c>
      <c r="CV1469" s="585" t="s">
        <v>5155</v>
      </c>
    </row>
    <row r="1470" spans="91:100" ht="25.5" x14ac:dyDescent="0.25">
      <c r="CM1470" s="582"/>
      <c r="CN1470" s="584" t="s">
        <v>5183</v>
      </c>
      <c r="CO1470" s="584" t="s">
        <v>1912</v>
      </c>
      <c r="CP1470" s="584" t="s">
        <v>1888</v>
      </c>
      <c r="CQ1470" s="584" t="s">
        <v>5184</v>
      </c>
      <c r="CR1470" s="584" t="s">
        <v>5185</v>
      </c>
      <c r="CS1470" s="584" t="s">
        <v>5153</v>
      </c>
      <c r="CT1470" s="584" t="s">
        <v>5154</v>
      </c>
      <c r="CU1470" s="584" t="s">
        <v>2185</v>
      </c>
      <c r="CV1470" s="585" t="s">
        <v>5155</v>
      </c>
    </row>
    <row r="1471" spans="91:100" x14ac:dyDescent="0.25">
      <c r="CM1471" s="582"/>
      <c r="CN1471" s="584" t="s">
        <v>5186</v>
      </c>
      <c r="CO1471" s="584" t="s">
        <v>1912</v>
      </c>
      <c r="CP1471" s="584" t="s">
        <v>1888</v>
      </c>
      <c r="CQ1471" s="584" t="s">
        <v>5187</v>
      </c>
      <c r="CR1471" s="584" t="s">
        <v>5187</v>
      </c>
      <c r="CS1471" s="584" t="s">
        <v>1890</v>
      </c>
      <c r="CT1471" s="584" t="s">
        <v>5168</v>
      </c>
      <c r="CU1471" s="584" t="s">
        <v>1892</v>
      </c>
      <c r="CV1471" s="585" t="s">
        <v>1893</v>
      </c>
    </row>
    <row r="1472" spans="91:100" x14ac:dyDescent="0.25">
      <c r="CM1472" s="582"/>
      <c r="CN1472" s="584" t="s">
        <v>5188</v>
      </c>
      <c r="CO1472" s="584" t="s">
        <v>1912</v>
      </c>
      <c r="CP1472" s="584" t="s">
        <v>1888</v>
      </c>
      <c r="CQ1472" s="584" t="s">
        <v>5189</v>
      </c>
      <c r="CR1472" s="584" t="s">
        <v>5189</v>
      </c>
      <c r="CS1472" s="584" t="s">
        <v>1890</v>
      </c>
      <c r="CT1472" s="584" t="s">
        <v>5168</v>
      </c>
      <c r="CU1472" s="584" t="s">
        <v>1892</v>
      </c>
      <c r="CV1472" s="585" t="s">
        <v>1893</v>
      </c>
    </row>
    <row r="1473" spans="91:100" x14ac:dyDescent="0.25">
      <c r="CM1473" s="582"/>
      <c r="CN1473" s="584" t="s">
        <v>5190</v>
      </c>
      <c r="CO1473" s="584" t="s">
        <v>1912</v>
      </c>
      <c r="CP1473" s="584" t="s">
        <v>1888</v>
      </c>
      <c r="CQ1473" s="584" t="s">
        <v>5191</v>
      </c>
      <c r="CR1473" s="584" t="s">
        <v>5191</v>
      </c>
      <c r="CS1473" s="584" t="s">
        <v>1890</v>
      </c>
      <c r="CT1473" s="584" t="s">
        <v>5168</v>
      </c>
      <c r="CU1473" s="584" t="s">
        <v>1892</v>
      </c>
      <c r="CV1473" s="585" t="s">
        <v>1893</v>
      </c>
    </row>
    <row r="1474" spans="91:100" ht="25.5" x14ac:dyDescent="0.25">
      <c r="CM1474" s="582"/>
      <c r="CN1474" s="584" t="s">
        <v>5192</v>
      </c>
      <c r="CO1474" s="584" t="s">
        <v>1912</v>
      </c>
      <c r="CP1474" s="584" t="s">
        <v>1888</v>
      </c>
      <c r="CQ1474" s="584" t="s">
        <v>5193</v>
      </c>
      <c r="CR1474" s="584" t="s">
        <v>5194</v>
      </c>
      <c r="CS1474" s="584" t="s">
        <v>5153</v>
      </c>
      <c r="CT1474" s="584" t="s">
        <v>5154</v>
      </c>
      <c r="CU1474" s="584" t="s">
        <v>2185</v>
      </c>
      <c r="CV1474" s="585" t="s">
        <v>5155</v>
      </c>
    </row>
    <row r="1475" spans="91:100" ht="25.5" x14ac:dyDescent="0.25">
      <c r="CM1475" s="582"/>
      <c r="CN1475" s="584" t="s">
        <v>5195</v>
      </c>
      <c r="CO1475" s="584" t="s">
        <v>1912</v>
      </c>
      <c r="CP1475" s="584" t="s">
        <v>1888</v>
      </c>
      <c r="CQ1475" s="584" t="s">
        <v>5196</v>
      </c>
      <c r="CR1475" s="584" t="s">
        <v>5196</v>
      </c>
      <c r="CS1475" s="584" t="s">
        <v>5153</v>
      </c>
      <c r="CT1475" s="584" t="s">
        <v>5154</v>
      </c>
      <c r="CU1475" s="584" t="s">
        <v>2185</v>
      </c>
      <c r="CV1475" s="585" t="s">
        <v>5155</v>
      </c>
    </row>
    <row r="1476" spans="91:100" x14ac:dyDescent="0.25">
      <c r="CM1476" s="582"/>
      <c r="CN1476" s="584" t="s">
        <v>5197</v>
      </c>
      <c r="CO1476" s="584" t="s">
        <v>1912</v>
      </c>
      <c r="CP1476" s="584" t="s">
        <v>1888</v>
      </c>
      <c r="CQ1476" s="584" t="s">
        <v>5198</v>
      </c>
      <c r="CR1476" s="584" t="s">
        <v>5199</v>
      </c>
      <c r="CS1476" s="584" t="s">
        <v>1890</v>
      </c>
      <c r="CT1476" s="584" t="s">
        <v>5168</v>
      </c>
      <c r="CU1476" s="584" t="s">
        <v>1892</v>
      </c>
      <c r="CV1476" s="585" t="s">
        <v>1893</v>
      </c>
    </row>
    <row r="1477" spans="91:100" ht="25.5" x14ac:dyDescent="0.25">
      <c r="CM1477" s="582"/>
      <c r="CN1477" s="584" t="s">
        <v>5200</v>
      </c>
      <c r="CO1477" s="584" t="s">
        <v>1912</v>
      </c>
      <c r="CP1477" s="584" t="s">
        <v>1888</v>
      </c>
      <c r="CQ1477" s="584" t="s">
        <v>5201</v>
      </c>
      <c r="CR1477" s="584" t="s">
        <v>5201</v>
      </c>
      <c r="CS1477" s="584" t="s">
        <v>5153</v>
      </c>
      <c r="CT1477" s="584" t="s">
        <v>5154</v>
      </c>
      <c r="CU1477" s="584" t="s">
        <v>2185</v>
      </c>
      <c r="CV1477" s="585" t="s">
        <v>5155</v>
      </c>
    </row>
    <row r="1478" spans="91:100" x14ac:dyDescent="0.25">
      <c r="CM1478" s="582"/>
      <c r="CN1478" s="584" t="s">
        <v>5202</v>
      </c>
      <c r="CO1478" s="584" t="s">
        <v>1912</v>
      </c>
      <c r="CP1478" s="584" t="s">
        <v>1888</v>
      </c>
      <c r="CQ1478" s="584" t="s">
        <v>5203</v>
      </c>
      <c r="CR1478" s="584" t="s">
        <v>5203</v>
      </c>
      <c r="CS1478" s="584" t="s">
        <v>1890</v>
      </c>
      <c r="CT1478" s="584" t="s">
        <v>5168</v>
      </c>
      <c r="CU1478" s="584" t="s">
        <v>1892</v>
      </c>
      <c r="CV1478" s="585" t="s">
        <v>1893</v>
      </c>
    </row>
    <row r="1479" spans="91:100" ht="25.5" x14ac:dyDescent="0.25">
      <c r="CM1479" s="582"/>
      <c r="CN1479" s="584" t="s">
        <v>5204</v>
      </c>
      <c r="CO1479" s="584" t="s">
        <v>1912</v>
      </c>
      <c r="CP1479" s="584" t="s">
        <v>1888</v>
      </c>
      <c r="CQ1479" s="584" t="s">
        <v>5205</v>
      </c>
      <c r="CR1479" s="584" t="s">
        <v>5205</v>
      </c>
      <c r="CS1479" s="584" t="s">
        <v>5153</v>
      </c>
      <c r="CT1479" s="584" t="s">
        <v>5154</v>
      </c>
      <c r="CU1479" s="584" t="s">
        <v>2185</v>
      </c>
      <c r="CV1479" s="585" t="s">
        <v>5155</v>
      </c>
    </row>
    <row r="1480" spans="91:100" ht="25.5" x14ac:dyDescent="0.25">
      <c r="CM1480" s="582"/>
      <c r="CN1480" s="584" t="s">
        <v>5206</v>
      </c>
      <c r="CO1480" s="584" t="s">
        <v>1912</v>
      </c>
      <c r="CP1480" s="584" t="s">
        <v>1888</v>
      </c>
      <c r="CQ1480" s="584" t="s">
        <v>5207</v>
      </c>
      <c r="CR1480" s="584" t="s">
        <v>5207</v>
      </c>
      <c r="CS1480" s="584" t="s">
        <v>5153</v>
      </c>
      <c r="CT1480" s="584" t="s">
        <v>5154</v>
      </c>
      <c r="CU1480" s="584" t="s">
        <v>2185</v>
      </c>
      <c r="CV1480" s="585" t="s">
        <v>5155</v>
      </c>
    </row>
    <row r="1481" spans="91:100" ht="25.5" x14ac:dyDescent="0.25">
      <c r="CM1481" s="582"/>
      <c r="CN1481" s="584" t="s">
        <v>5208</v>
      </c>
      <c r="CO1481" s="584" t="s">
        <v>1912</v>
      </c>
      <c r="CP1481" s="584" t="s">
        <v>1888</v>
      </c>
      <c r="CQ1481" s="584" t="s">
        <v>5209</v>
      </c>
      <c r="CR1481" s="584" t="s">
        <v>5209</v>
      </c>
      <c r="CS1481" s="584" t="s">
        <v>5153</v>
      </c>
      <c r="CT1481" s="584" t="s">
        <v>5154</v>
      </c>
      <c r="CU1481" s="584" t="s">
        <v>2185</v>
      </c>
      <c r="CV1481" s="585" t="s">
        <v>5155</v>
      </c>
    </row>
    <row r="1482" spans="91:100" ht="25.5" x14ac:dyDescent="0.25">
      <c r="CM1482" s="582"/>
      <c r="CN1482" s="584" t="s">
        <v>5210</v>
      </c>
      <c r="CO1482" s="584" t="s">
        <v>1912</v>
      </c>
      <c r="CP1482" s="584" t="s">
        <v>1888</v>
      </c>
      <c r="CQ1482" s="584" t="s">
        <v>5211</v>
      </c>
      <c r="CR1482" s="584" t="s">
        <v>5211</v>
      </c>
      <c r="CS1482" s="584" t="s">
        <v>5153</v>
      </c>
      <c r="CT1482" s="584" t="s">
        <v>5154</v>
      </c>
      <c r="CU1482" s="584" t="s">
        <v>2185</v>
      </c>
      <c r="CV1482" s="585" t="s">
        <v>5155</v>
      </c>
    </row>
    <row r="1483" spans="91:100" x14ac:dyDescent="0.25">
      <c r="CM1483" s="582"/>
      <c r="CN1483" s="584" t="s">
        <v>5212</v>
      </c>
      <c r="CO1483" s="584" t="s">
        <v>1912</v>
      </c>
      <c r="CP1483" s="584" t="s">
        <v>1888</v>
      </c>
      <c r="CQ1483" s="584" t="s">
        <v>5213</v>
      </c>
      <c r="CR1483" s="584" t="s">
        <v>5213</v>
      </c>
      <c r="CS1483" s="584" t="s">
        <v>1890</v>
      </c>
      <c r="CT1483" s="584" t="s">
        <v>5168</v>
      </c>
      <c r="CU1483" s="584" t="s">
        <v>1892</v>
      </c>
      <c r="CV1483" s="585" t="s">
        <v>1893</v>
      </c>
    </row>
    <row r="1484" spans="91:100" ht="25.5" x14ac:dyDescent="0.25">
      <c r="CM1484" s="582"/>
      <c r="CN1484" s="584" t="s">
        <v>5214</v>
      </c>
      <c r="CO1484" s="584" t="s">
        <v>1912</v>
      </c>
      <c r="CP1484" s="584" t="s">
        <v>1888</v>
      </c>
      <c r="CQ1484" s="584" t="s">
        <v>5215</v>
      </c>
      <c r="CR1484" s="584" t="s">
        <v>5215</v>
      </c>
      <c r="CS1484" s="584" t="s">
        <v>5153</v>
      </c>
      <c r="CT1484" s="584" t="s">
        <v>5154</v>
      </c>
      <c r="CU1484" s="584" t="s">
        <v>2185</v>
      </c>
      <c r="CV1484" s="585" t="s">
        <v>5155</v>
      </c>
    </row>
    <row r="1485" spans="91:100" ht="25.5" x14ac:dyDescent="0.25">
      <c r="CM1485" s="582"/>
      <c r="CN1485" s="584" t="s">
        <v>5216</v>
      </c>
      <c r="CO1485" s="584" t="s">
        <v>1912</v>
      </c>
      <c r="CP1485" s="584" t="s">
        <v>1888</v>
      </c>
      <c r="CQ1485" s="584" t="s">
        <v>5217</v>
      </c>
      <c r="CR1485" s="584" t="s">
        <v>5217</v>
      </c>
      <c r="CS1485" s="584" t="s">
        <v>5153</v>
      </c>
      <c r="CT1485" s="584" t="s">
        <v>5154</v>
      </c>
      <c r="CU1485" s="584" t="s">
        <v>2185</v>
      </c>
      <c r="CV1485" s="585" t="s">
        <v>5155</v>
      </c>
    </row>
    <row r="1486" spans="91:100" ht="25.5" x14ac:dyDescent="0.25">
      <c r="CM1486" s="582"/>
      <c r="CN1486" s="584" t="s">
        <v>5218</v>
      </c>
      <c r="CO1486" s="584" t="s">
        <v>1912</v>
      </c>
      <c r="CP1486" s="584" t="s">
        <v>1888</v>
      </c>
      <c r="CQ1486" s="584" t="s">
        <v>5219</v>
      </c>
      <c r="CR1486" s="584" t="s">
        <v>5220</v>
      </c>
      <c r="CS1486" s="584" t="s">
        <v>5153</v>
      </c>
      <c r="CT1486" s="584" t="s">
        <v>5154</v>
      </c>
      <c r="CU1486" s="584" t="s">
        <v>2185</v>
      </c>
      <c r="CV1486" s="585" t="s">
        <v>5155</v>
      </c>
    </row>
    <row r="1487" spans="91:100" x14ac:dyDescent="0.25">
      <c r="CM1487" s="582"/>
      <c r="CN1487" s="584" t="s">
        <v>5221</v>
      </c>
      <c r="CO1487" s="584" t="s">
        <v>1912</v>
      </c>
      <c r="CP1487" s="584" t="s">
        <v>1888</v>
      </c>
      <c r="CQ1487" s="584" t="s">
        <v>5222</v>
      </c>
      <c r="CR1487" s="584" t="s">
        <v>5222</v>
      </c>
      <c r="CS1487" s="584" t="s">
        <v>1890</v>
      </c>
      <c r="CT1487" s="584" t="s">
        <v>5168</v>
      </c>
      <c r="CU1487" s="584" t="s">
        <v>1892</v>
      </c>
      <c r="CV1487" s="585" t="s">
        <v>1893</v>
      </c>
    </row>
    <row r="1488" spans="91:100" x14ac:dyDescent="0.25">
      <c r="CM1488" s="582"/>
      <c r="CN1488" s="584" t="s">
        <v>5223</v>
      </c>
      <c r="CO1488" s="584" t="s">
        <v>1912</v>
      </c>
      <c r="CP1488" s="584" t="s">
        <v>1888</v>
      </c>
      <c r="CQ1488" s="584" t="s">
        <v>5224</v>
      </c>
      <c r="CR1488" s="584" t="s">
        <v>5224</v>
      </c>
      <c r="CS1488" s="584" t="s">
        <v>1890</v>
      </c>
      <c r="CT1488" s="584" t="s">
        <v>5168</v>
      </c>
      <c r="CU1488" s="584" t="s">
        <v>1892</v>
      </c>
      <c r="CV1488" s="585" t="s">
        <v>1893</v>
      </c>
    </row>
    <row r="1489" spans="91:100" ht="25.5" x14ac:dyDescent="0.25">
      <c r="CM1489" s="582"/>
      <c r="CN1489" s="584" t="s">
        <v>5225</v>
      </c>
      <c r="CO1489" s="584" t="s">
        <v>1912</v>
      </c>
      <c r="CP1489" s="584" t="s">
        <v>1888</v>
      </c>
      <c r="CQ1489" s="584" t="s">
        <v>5226</v>
      </c>
      <c r="CR1489" s="584" t="s">
        <v>5226</v>
      </c>
      <c r="CS1489" s="584" t="s">
        <v>5153</v>
      </c>
      <c r="CT1489" s="584" t="s">
        <v>5154</v>
      </c>
      <c r="CU1489" s="584" t="s">
        <v>2185</v>
      </c>
      <c r="CV1489" s="585" t="s">
        <v>5155</v>
      </c>
    </row>
    <row r="1490" spans="91:100" ht="25.5" x14ac:dyDescent="0.25">
      <c r="CM1490" s="582"/>
      <c r="CN1490" s="584" t="s">
        <v>5227</v>
      </c>
      <c r="CO1490" s="584" t="s">
        <v>1912</v>
      </c>
      <c r="CP1490" s="584" t="s">
        <v>1888</v>
      </c>
      <c r="CQ1490" s="584" t="s">
        <v>5228</v>
      </c>
      <c r="CR1490" s="584" t="s">
        <v>5228</v>
      </c>
      <c r="CS1490" s="584" t="s">
        <v>5153</v>
      </c>
      <c r="CT1490" s="584" t="s">
        <v>5154</v>
      </c>
      <c r="CU1490" s="584" t="s">
        <v>2185</v>
      </c>
      <c r="CV1490" s="585" t="s">
        <v>5155</v>
      </c>
    </row>
    <row r="1491" spans="91:100" ht="25.5" x14ac:dyDescent="0.25">
      <c r="CM1491" s="582"/>
      <c r="CN1491" s="584" t="s">
        <v>5229</v>
      </c>
      <c r="CO1491" s="584" t="s">
        <v>1912</v>
      </c>
      <c r="CP1491" s="584" t="s">
        <v>1888</v>
      </c>
      <c r="CQ1491" s="584" t="s">
        <v>5230</v>
      </c>
      <c r="CR1491" s="584" t="s">
        <v>5231</v>
      </c>
      <c r="CS1491" s="584" t="s">
        <v>5153</v>
      </c>
      <c r="CT1491" s="584" t="s">
        <v>5154</v>
      </c>
      <c r="CU1491" s="584" t="s">
        <v>2185</v>
      </c>
      <c r="CV1491" s="585" t="s">
        <v>5155</v>
      </c>
    </row>
    <row r="1492" spans="91:100" x14ac:dyDescent="0.25">
      <c r="CM1492" s="582"/>
      <c r="CN1492" s="584" t="s">
        <v>5232</v>
      </c>
      <c r="CO1492" s="584" t="s">
        <v>1912</v>
      </c>
      <c r="CP1492" s="584" t="s">
        <v>1888</v>
      </c>
      <c r="CQ1492" s="584" t="s">
        <v>5233</v>
      </c>
      <c r="CR1492" s="584" t="s">
        <v>5233</v>
      </c>
      <c r="CS1492" s="584" t="s">
        <v>1890</v>
      </c>
      <c r="CT1492" s="584" t="s">
        <v>5168</v>
      </c>
      <c r="CU1492" s="584" t="s">
        <v>1892</v>
      </c>
      <c r="CV1492" s="585" t="s">
        <v>1893</v>
      </c>
    </row>
    <row r="1493" spans="91:100" x14ac:dyDescent="0.25">
      <c r="CM1493" s="582"/>
      <c r="CN1493" s="584" t="s">
        <v>5234</v>
      </c>
      <c r="CO1493" s="584" t="s">
        <v>1912</v>
      </c>
      <c r="CP1493" s="584" t="s">
        <v>1888</v>
      </c>
      <c r="CQ1493" s="584" t="s">
        <v>5235</v>
      </c>
      <c r="CR1493" s="584" t="s">
        <v>5235</v>
      </c>
      <c r="CS1493" s="584" t="s">
        <v>1978</v>
      </c>
      <c r="CT1493" s="584" t="s">
        <v>1979</v>
      </c>
      <c r="CU1493" s="584" t="s">
        <v>1892</v>
      </c>
      <c r="CV1493" s="585" t="s">
        <v>1980</v>
      </c>
    </row>
    <row r="1494" spans="91:100" ht="25.5" x14ac:dyDescent="0.25">
      <c r="CM1494" s="582"/>
      <c r="CN1494" s="584" t="s">
        <v>5236</v>
      </c>
      <c r="CO1494" s="584" t="s">
        <v>1912</v>
      </c>
      <c r="CP1494" s="584" t="s">
        <v>1888</v>
      </c>
      <c r="CQ1494" s="584" t="s">
        <v>5237</v>
      </c>
      <c r="CR1494" s="584" t="s">
        <v>5237</v>
      </c>
      <c r="CS1494" s="584" t="s">
        <v>5153</v>
      </c>
      <c r="CT1494" s="584" t="s">
        <v>5154</v>
      </c>
      <c r="CU1494" s="584" t="s">
        <v>2185</v>
      </c>
      <c r="CV1494" s="585" t="s">
        <v>5155</v>
      </c>
    </row>
    <row r="1495" spans="91:100" ht="25.5" x14ac:dyDescent="0.25">
      <c r="CM1495" s="582"/>
      <c r="CN1495" s="584" t="s">
        <v>5238</v>
      </c>
      <c r="CO1495" s="584" t="s">
        <v>1912</v>
      </c>
      <c r="CP1495" s="584" t="s">
        <v>1888</v>
      </c>
      <c r="CQ1495" s="584" t="s">
        <v>5239</v>
      </c>
      <c r="CR1495" s="584" t="s">
        <v>5240</v>
      </c>
      <c r="CS1495" s="584" t="s">
        <v>5153</v>
      </c>
      <c r="CT1495" s="584" t="s">
        <v>5154</v>
      </c>
      <c r="CU1495" s="584" t="s">
        <v>2185</v>
      </c>
      <c r="CV1495" s="585" t="s">
        <v>5155</v>
      </c>
    </row>
    <row r="1496" spans="91:100" ht="25.5" x14ac:dyDescent="0.25">
      <c r="CM1496" s="582"/>
      <c r="CN1496" s="584" t="s">
        <v>5241</v>
      </c>
      <c r="CO1496" s="584" t="s">
        <v>1912</v>
      </c>
      <c r="CP1496" s="584" t="s">
        <v>1888</v>
      </c>
      <c r="CQ1496" s="584" t="s">
        <v>5242</v>
      </c>
      <c r="CR1496" s="584" t="s">
        <v>5242</v>
      </c>
      <c r="CS1496" s="584" t="s">
        <v>5153</v>
      </c>
      <c r="CT1496" s="584" t="s">
        <v>5154</v>
      </c>
      <c r="CU1496" s="584" t="s">
        <v>2185</v>
      </c>
      <c r="CV1496" s="585" t="s">
        <v>5155</v>
      </c>
    </row>
    <row r="1497" spans="91:100" ht="25.5" x14ac:dyDescent="0.25">
      <c r="CM1497" s="582"/>
      <c r="CN1497" s="584" t="s">
        <v>5243</v>
      </c>
      <c r="CO1497" s="584" t="s">
        <v>1912</v>
      </c>
      <c r="CP1497" s="584" t="s">
        <v>1888</v>
      </c>
      <c r="CQ1497" s="584" t="s">
        <v>5244</v>
      </c>
      <c r="CR1497" s="584" t="s">
        <v>5244</v>
      </c>
      <c r="CS1497" s="584" t="s">
        <v>5153</v>
      </c>
      <c r="CT1497" s="584" t="s">
        <v>5154</v>
      </c>
      <c r="CU1497" s="584" t="s">
        <v>2185</v>
      </c>
      <c r="CV1497" s="585" t="s">
        <v>5155</v>
      </c>
    </row>
    <row r="1498" spans="91:100" ht="25.5" x14ac:dyDescent="0.25">
      <c r="CM1498" s="582"/>
      <c r="CN1498" s="584" t="s">
        <v>5245</v>
      </c>
      <c r="CO1498" s="584" t="s">
        <v>1912</v>
      </c>
      <c r="CP1498" s="584" t="s">
        <v>1888</v>
      </c>
      <c r="CQ1498" s="584" t="s">
        <v>5246</v>
      </c>
      <c r="CR1498" s="584" t="s">
        <v>5246</v>
      </c>
      <c r="CS1498" s="584" t="s">
        <v>5153</v>
      </c>
      <c r="CT1498" s="584" t="s">
        <v>5154</v>
      </c>
      <c r="CU1498" s="584" t="s">
        <v>2185</v>
      </c>
      <c r="CV1498" s="585" t="s">
        <v>5155</v>
      </c>
    </row>
    <row r="1499" spans="91:100" ht="25.5" x14ac:dyDescent="0.25">
      <c r="CM1499" s="582"/>
      <c r="CN1499" s="584" t="s">
        <v>5247</v>
      </c>
      <c r="CO1499" s="584" t="s">
        <v>1912</v>
      </c>
      <c r="CP1499" s="584" t="s">
        <v>1888</v>
      </c>
      <c r="CQ1499" s="584" t="s">
        <v>5248</v>
      </c>
      <c r="CR1499" s="584" t="s">
        <v>5249</v>
      </c>
      <c r="CS1499" s="584" t="s">
        <v>5153</v>
      </c>
      <c r="CT1499" s="584" t="s">
        <v>5154</v>
      </c>
      <c r="CU1499" s="584" t="s">
        <v>2185</v>
      </c>
      <c r="CV1499" s="585" t="s">
        <v>5155</v>
      </c>
    </row>
    <row r="1500" spans="91:100" ht="25.5" x14ac:dyDescent="0.25">
      <c r="CM1500" s="582"/>
      <c r="CN1500" s="584" t="s">
        <v>5250</v>
      </c>
      <c r="CO1500" s="584" t="s">
        <v>1912</v>
      </c>
      <c r="CP1500" s="584" t="s">
        <v>1888</v>
      </c>
      <c r="CQ1500" s="584" t="s">
        <v>5251</v>
      </c>
      <c r="CR1500" s="584" t="s">
        <v>5252</v>
      </c>
      <c r="CS1500" s="584" t="s">
        <v>5153</v>
      </c>
      <c r="CT1500" s="584" t="s">
        <v>5154</v>
      </c>
      <c r="CU1500" s="584" t="s">
        <v>2185</v>
      </c>
      <c r="CV1500" s="585" t="s">
        <v>5155</v>
      </c>
    </row>
    <row r="1501" spans="91:100" x14ac:dyDescent="0.25">
      <c r="CM1501" s="582"/>
      <c r="CN1501" s="584" t="s">
        <v>5253</v>
      </c>
      <c r="CO1501" s="584" t="s">
        <v>1912</v>
      </c>
      <c r="CP1501" s="584" t="s">
        <v>1888</v>
      </c>
      <c r="CQ1501" s="584" t="s">
        <v>5254</v>
      </c>
      <c r="CR1501" s="584" t="s">
        <v>5254</v>
      </c>
      <c r="CS1501" s="584" t="s">
        <v>1890</v>
      </c>
      <c r="CT1501" s="584" t="s">
        <v>5168</v>
      </c>
      <c r="CU1501" s="584" t="s">
        <v>1892</v>
      </c>
      <c r="CV1501" s="585" t="s">
        <v>1893</v>
      </c>
    </row>
    <row r="1502" spans="91:100" ht="25.5" x14ac:dyDescent="0.25">
      <c r="CM1502" s="582"/>
      <c r="CN1502" s="584" t="s">
        <v>5255</v>
      </c>
      <c r="CO1502" s="584" t="s">
        <v>1912</v>
      </c>
      <c r="CP1502" s="584" t="s">
        <v>1888</v>
      </c>
      <c r="CQ1502" s="584" t="s">
        <v>5256</v>
      </c>
      <c r="CR1502" s="584" t="s">
        <v>5256</v>
      </c>
      <c r="CS1502" s="584" t="s">
        <v>5153</v>
      </c>
      <c r="CT1502" s="584" t="s">
        <v>5154</v>
      </c>
      <c r="CU1502" s="584" t="s">
        <v>2185</v>
      </c>
      <c r="CV1502" s="585" t="s">
        <v>5155</v>
      </c>
    </row>
    <row r="1503" spans="91:100" x14ac:dyDescent="0.25">
      <c r="CM1503" s="582"/>
      <c r="CN1503" s="584" t="s">
        <v>5257</v>
      </c>
      <c r="CO1503" s="584" t="s">
        <v>1912</v>
      </c>
      <c r="CP1503" s="584" t="s">
        <v>1888</v>
      </c>
      <c r="CQ1503" s="584" t="s">
        <v>5258</v>
      </c>
      <c r="CR1503" s="584" t="s">
        <v>5258</v>
      </c>
      <c r="CS1503" s="584" t="s">
        <v>1890</v>
      </c>
      <c r="CT1503" s="584" t="s">
        <v>5168</v>
      </c>
      <c r="CU1503" s="584" t="s">
        <v>1892</v>
      </c>
      <c r="CV1503" s="585" t="s">
        <v>1893</v>
      </c>
    </row>
    <row r="1504" spans="91:100" x14ac:dyDescent="0.25">
      <c r="CM1504" s="582"/>
      <c r="CN1504" s="584" t="s">
        <v>5259</v>
      </c>
      <c r="CO1504" s="584" t="s">
        <v>1912</v>
      </c>
      <c r="CP1504" s="584" t="s">
        <v>1888</v>
      </c>
      <c r="CQ1504" s="584" t="s">
        <v>5260</v>
      </c>
      <c r="CR1504" s="584" t="s">
        <v>5260</v>
      </c>
      <c r="CS1504" s="584" t="s">
        <v>1890</v>
      </c>
      <c r="CT1504" s="584" t="s">
        <v>5168</v>
      </c>
      <c r="CU1504" s="584" t="s">
        <v>1892</v>
      </c>
      <c r="CV1504" s="585" t="s">
        <v>1893</v>
      </c>
    </row>
    <row r="1505" spans="91:100" ht="25.5" x14ac:dyDescent="0.25">
      <c r="CM1505" s="582"/>
      <c r="CN1505" s="584" t="s">
        <v>5261</v>
      </c>
      <c r="CO1505" s="584" t="s">
        <v>1912</v>
      </c>
      <c r="CP1505" s="584" t="s">
        <v>1888</v>
      </c>
      <c r="CQ1505" s="584" t="s">
        <v>5262</v>
      </c>
      <c r="CR1505" s="584" t="s">
        <v>5262</v>
      </c>
      <c r="CS1505" s="584" t="s">
        <v>5153</v>
      </c>
      <c r="CT1505" s="584" t="s">
        <v>5154</v>
      </c>
      <c r="CU1505" s="584" t="s">
        <v>2185</v>
      </c>
      <c r="CV1505" s="585" t="s">
        <v>5155</v>
      </c>
    </row>
    <row r="1506" spans="91:100" ht="25.5" x14ac:dyDescent="0.25">
      <c r="CM1506" s="582"/>
      <c r="CN1506" s="584" t="s">
        <v>5263</v>
      </c>
      <c r="CO1506" s="584" t="s">
        <v>1912</v>
      </c>
      <c r="CP1506" s="584" t="s">
        <v>1888</v>
      </c>
      <c r="CQ1506" s="584" t="s">
        <v>5264</v>
      </c>
      <c r="CR1506" s="584" t="s">
        <v>5264</v>
      </c>
      <c r="CS1506" s="584" t="s">
        <v>5153</v>
      </c>
      <c r="CT1506" s="584" t="s">
        <v>5154</v>
      </c>
      <c r="CU1506" s="584" t="s">
        <v>2185</v>
      </c>
      <c r="CV1506" s="585" t="s">
        <v>5155</v>
      </c>
    </row>
    <row r="1507" spans="91:100" x14ac:dyDescent="0.25">
      <c r="CM1507" s="582"/>
      <c r="CN1507" s="584" t="s">
        <v>5265</v>
      </c>
      <c r="CO1507" s="584" t="s">
        <v>1912</v>
      </c>
      <c r="CP1507" s="584" t="s">
        <v>1888</v>
      </c>
      <c r="CQ1507" s="584" t="s">
        <v>5266</v>
      </c>
      <c r="CR1507" s="584" t="s">
        <v>5266</v>
      </c>
      <c r="CS1507" s="584" t="s">
        <v>1890</v>
      </c>
      <c r="CT1507" s="584" t="s">
        <v>5168</v>
      </c>
      <c r="CU1507" s="584" t="s">
        <v>1892</v>
      </c>
      <c r="CV1507" s="585" t="s">
        <v>1893</v>
      </c>
    </row>
    <row r="1508" spans="91:100" ht="25.5" x14ac:dyDescent="0.25">
      <c r="CM1508" s="582"/>
      <c r="CN1508" s="584" t="s">
        <v>5267</v>
      </c>
      <c r="CO1508" s="584" t="s">
        <v>1912</v>
      </c>
      <c r="CP1508" s="584" t="s">
        <v>1888</v>
      </c>
      <c r="CQ1508" s="584" t="s">
        <v>5268</v>
      </c>
      <c r="CR1508" s="584" t="s">
        <v>5269</v>
      </c>
      <c r="CS1508" s="584" t="s">
        <v>5153</v>
      </c>
      <c r="CT1508" s="584" t="s">
        <v>5154</v>
      </c>
      <c r="CU1508" s="584" t="s">
        <v>2185</v>
      </c>
      <c r="CV1508" s="585" t="s">
        <v>5155</v>
      </c>
    </row>
    <row r="1509" spans="91:100" x14ac:dyDescent="0.25">
      <c r="CM1509" s="582"/>
      <c r="CN1509" s="584" t="s">
        <v>5270</v>
      </c>
      <c r="CO1509" s="584" t="s">
        <v>1912</v>
      </c>
      <c r="CP1509" s="584" t="s">
        <v>1888</v>
      </c>
      <c r="CQ1509" s="584" t="s">
        <v>5271</v>
      </c>
      <c r="CR1509" s="584" t="s">
        <v>5272</v>
      </c>
      <c r="CS1509" s="584" t="s">
        <v>1890</v>
      </c>
      <c r="CT1509" s="584" t="s">
        <v>5168</v>
      </c>
      <c r="CU1509" s="584" t="s">
        <v>1892</v>
      </c>
      <c r="CV1509" s="585" t="s">
        <v>1893</v>
      </c>
    </row>
    <row r="1510" spans="91:100" ht="25.5" x14ac:dyDescent="0.25">
      <c r="CM1510" s="582"/>
      <c r="CN1510" s="584" t="s">
        <v>5273</v>
      </c>
      <c r="CO1510" s="584" t="s">
        <v>1912</v>
      </c>
      <c r="CP1510" s="584" t="s">
        <v>1888</v>
      </c>
      <c r="CQ1510" s="584" t="s">
        <v>5274</v>
      </c>
      <c r="CR1510" s="584" t="s">
        <v>5275</v>
      </c>
      <c r="CS1510" s="584" t="s">
        <v>5153</v>
      </c>
      <c r="CT1510" s="584" t="s">
        <v>5154</v>
      </c>
      <c r="CU1510" s="584" t="s">
        <v>2185</v>
      </c>
      <c r="CV1510" s="585" t="s">
        <v>5155</v>
      </c>
    </row>
    <row r="1511" spans="91:100" x14ac:dyDescent="0.25">
      <c r="CM1511" s="582"/>
      <c r="CN1511" s="584" t="s">
        <v>5276</v>
      </c>
      <c r="CO1511" s="584" t="s">
        <v>1912</v>
      </c>
      <c r="CP1511" s="584" t="s">
        <v>1888</v>
      </c>
      <c r="CQ1511" s="584" t="s">
        <v>5277</v>
      </c>
      <c r="CR1511" s="584" t="s">
        <v>5277</v>
      </c>
      <c r="CS1511" s="584" t="s">
        <v>1978</v>
      </c>
      <c r="CT1511" s="584" t="s">
        <v>1979</v>
      </c>
      <c r="CU1511" s="584" t="s">
        <v>1892</v>
      </c>
      <c r="CV1511" s="585" t="s">
        <v>1980</v>
      </c>
    </row>
    <row r="1512" spans="91:100" x14ac:dyDescent="0.25">
      <c r="CM1512" s="582"/>
      <c r="CN1512" s="584" t="s">
        <v>5278</v>
      </c>
      <c r="CO1512" s="584" t="s">
        <v>1912</v>
      </c>
      <c r="CP1512" s="584" t="s">
        <v>1888</v>
      </c>
      <c r="CQ1512" s="584" t="s">
        <v>5279</v>
      </c>
      <c r="CR1512" s="584" t="s">
        <v>5280</v>
      </c>
      <c r="CS1512" s="584" t="s">
        <v>1890</v>
      </c>
      <c r="CT1512" s="584" t="s">
        <v>5168</v>
      </c>
      <c r="CU1512" s="584" t="s">
        <v>1892</v>
      </c>
      <c r="CV1512" s="585" t="s">
        <v>1893</v>
      </c>
    </row>
    <row r="1513" spans="91:100" ht="25.5" x14ac:dyDescent="0.25">
      <c r="CM1513" s="582"/>
      <c r="CN1513" s="584" t="s">
        <v>5281</v>
      </c>
      <c r="CO1513" s="584" t="s">
        <v>1912</v>
      </c>
      <c r="CP1513" s="584" t="s">
        <v>1888</v>
      </c>
      <c r="CQ1513" s="584" t="s">
        <v>5282</v>
      </c>
      <c r="CR1513" s="584" t="s">
        <v>5283</v>
      </c>
      <c r="CS1513" s="584" t="s">
        <v>5153</v>
      </c>
      <c r="CT1513" s="584" t="s">
        <v>5154</v>
      </c>
      <c r="CU1513" s="584" t="s">
        <v>2185</v>
      </c>
      <c r="CV1513" s="585" t="s">
        <v>5155</v>
      </c>
    </row>
    <row r="1514" spans="91:100" ht="25.5" x14ac:dyDescent="0.25">
      <c r="CM1514" s="582"/>
      <c r="CN1514" s="584" t="s">
        <v>5284</v>
      </c>
      <c r="CO1514" s="584" t="s">
        <v>1912</v>
      </c>
      <c r="CP1514" s="584" t="s">
        <v>1888</v>
      </c>
      <c r="CQ1514" s="584" t="s">
        <v>5285</v>
      </c>
      <c r="CR1514" s="584" t="s">
        <v>5286</v>
      </c>
      <c r="CS1514" s="584" t="s">
        <v>5153</v>
      </c>
      <c r="CT1514" s="584" t="s">
        <v>5154</v>
      </c>
      <c r="CU1514" s="584" t="s">
        <v>2185</v>
      </c>
      <c r="CV1514" s="585" t="s">
        <v>5155</v>
      </c>
    </row>
    <row r="1515" spans="91:100" x14ac:dyDescent="0.25">
      <c r="CM1515" s="582"/>
      <c r="CN1515" s="584" t="s">
        <v>5287</v>
      </c>
      <c r="CO1515" s="584" t="s">
        <v>1912</v>
      </c>
      <c r="CP1515" s="584" t="s">
        <v>1888</v>
      </c>
      <c r="CQ1515" s="584" t="s">
        <v>5288</v>
      </c>
      <c r="CR1515" s="584" t="s">
        <v>5289</v>
      </c>
      <c r="CS1515" s="584" t="s">
        <v>1890</v>
      </c>
      <c r="CT1515" s="584" t="s">
        <v>5168</v>
      </c>
      <c r="CU1515" s="584" t="s">
        <v>1892</v>
      </c>
      <c r="CV1515" s="585" t="s">
        <v>1893</v>
      </c>
    </row>
    <row r="1516" spans="91:100" x14ac:dyDescent="0.25">
      <c r="CM1516" s="582"/>
      <c r="CN1516" s="584" t="s">
        <v>5290</v>
      </c>
      <c r="CO1516" s="584" t="s">
        <v>1912</v>
      </c>
      <c r="CP1516" s="584" t="s">
        <v>1888</v>
      </c>
      <c r="CQ1516" s="584" t="s">
        <v>5291</v>
      </c>
      <c r="CR1516" s="584" t="s">
        <v>5292</v>
      </c>
      <c r="CS1516" s="584" t="s">
        <v>1890</v>
      </c>
      <c r="CT1516" s="584" t="s">
        <v>5168</v>
      </c>
      <c r="CU1516" s="584" t="s">
        <v>1892</v>
      </c>
      <c r="CV1516" s="585" t="s">
        <v>1893</v>
      </c>
    </row>
    <row r="1517" spans="91:100" ht="25.5" x14ac:dyDescent="0.25">
      <c r="CM1517" s="582"/>
      <c r="CN1517" s="584" t="s">
        <v>5293</v>
      </c>
      <c r="CO1517" s="584" t="s">
        <v>1912</v>
      </c>
      <c r="CP1517" s="584" t="s">
        <v>1888</v>
      </c>
      <c r="CQ1517" s="584" t="s">
        <v>5294</v>
      </c>
      <c r="CR1517" s="584" t="s">
        <v>5294</v>
      </c>
      <c r="CS1517" s="584" t="s">
        <v>5153</v>
      </c>
      <c r="CT1517" s="584" t="s">
        <v>5154</v>
      </c>
      <c r="CU1517" s="584" t="s">
        <v>2185</v>
      </c>
      <c r="CV1517" s="585" t="s">
        <v>5155</v>
      </c>
    </row>
    <row r="1518" spans="91:100" x14ac:dyDescent="0.25">
      <c r="CM1518" s="582"/>
      <c r="CN1518" s="584" t="s">
        <v>5295</v>
      </c>
      <c r="CO1518" s="584" t="s">
        <v>1912</v>
      </c>
      <c r="CP1518" s="584" t="s">
        <v>1888</v>
      </c>
      <c r="CQ1518" s="584" t="s">
        <v>5296</v>
      </c>
      <c r="CR1518" s="584" t="s">
        <v>5296</v>
      </c>
      <c r="CS1518" s="584" t="s">
        <v>1890</v>
      </c>
      <c r="CT1518" s="584" t="s">
        <v>5168</v>
      </c>
      <c r="CU1518" s="584" t="s">
        <v>1892</v>
      </c>
      <c r="CV1518" s="585" t="s">
        <v>1893</v>
      </c>
    </row>
    <row r="1519" spans="91:100" ht="25.5" x14ac:dyDescent="0.25">
      <c r="CM1519" s="582"/>
      <c r="CN1519" s="584" t="s">
        <v>5297</v>
      </c>
      <c r="CO1519" s="584" t="s">
        <v>1912</v>
      </c>
      <c r="CP1519" s="584" t="s">
        <v>1888</v>
      </c>
      <c r="CQ1519" s="584" t="s">
        <v>5298</v>
      </c>
      <c r="CR1519" s="584" t="s">
        <v>5298</v>
      </c>
      <c r="CS1519" s="584" t="s">
        <v>5153</v>
      </c>
      <c r="CT1519" s="584" t="s">
        <v>5154</v>
      </c>
      <c r="CU1519" s="584" t="s">
        <v>2185</v>
      </c>
      <c r="CV1519" s="585" t="s">
        <v>5155</v>
      </c>
    </row>
    <row r="1520" spans="91:100" ht="25.5" x14ac:dyDescent="0.25">
      <c r="CM1520" s="582"/>
      <c r="CN1520" s="584" t="s">
        <v>5299</v>
      </c>
      <c r="CO1520" s="584" t="s">
        <v>1912</v>
      </c>
      <c r="CP1520" s="584" t="s">
        <v>1888</v>
      </c>
      <c r="CQ1520" s="584" t="s">
        <v>5300</v>
      </c>
      <c r="CR1520" s="584" t="s">
        <v>5300</v>
      </c>
      <c r="CS1520" s="584" t="s">
        <v>5153</v>
      </c>
      <c r="CT1520" s="584" t="s">
        <v>5154</v>
      </c>
      <c r="CU1520" s="584" t="s">
        <v>2185</v>
      </c>
      <c r="CV1520" s="585" t="s">
        <v>5155</v>
      </c>
    </row>
    <row r="1521" spans="91:100" x14ac:dyDescent="0.25">
      <c r="CM1521" s="582"/>
      <c r="CN1521" s="584" t="s">
        <v>5301</v>
      </c>
      <c r="CO1521" s="584" t="s">
        <v>1912</v>
      </c>
      <c r="CP1521" s="584" t="s">
        <v>1888</v>
      </c>
      <c r="CQ1521" s="584" t="s">
        <v>5302</v>
      </c>
      <c r="CR1521" s="584" t="s">
        <v>5302</v>
      </c>
      <c r="CS1521" s="584" t="s">
        <v>1890</v>
      </c>
      <c r="CT1521" s="584" t="s">
        <v>5168</v>
      </c>
      <c r="CU1521" s="584" t="s">
        <v>1892</v>
      </c>
      <c r="CV1521" s="585" t="s">
        <v>1893</v>
      </c>
    </row>
    <row r="1522" spans="91:100" x14ac:dyDescent="0.25">
      <c r="CM1522" s="582"/>
      <c r="CN1522" s="584" t="s">
        <v>5303</v>
      </c>
      <c r="CO1522" s="584" t="s">
        <v>1912</v>
      </c>
      <c r="CP1522" s="584" t="s">
        <v>1888</v>
      </c>
      <c r="CQ1522" s="584" t="s">
        <v>5304</v>
      </c>
      <c r="CR1522" s="584" t="s">
        <v>5304</v>
      </c>
      <c r="CS1522" s="584" t="s">
        <v>1978</v>
      </c>
      <c r="CT1522" s="584" t="s">
        <v>1979</v>
      </c>
      <c r="CU1522" s="584" t="s">
        <v>1892</v>
      </c>
      <c r="CV1522" s="585" t="s">
        <v>1980</v>
      </c>
    </row>
    <row r="1523" spans="91:100" ht="25.5" x14ac:dyDescent="0.25">
      <c r="CM1523" s="582"/>
      <c r="CN1523" s="584" t="s">
        <v>5305</v>
      </c>
      <c r="CO1523" s="584" t="s">
        <v>1912</v>
      </c>
      <c r="CP1523" s="584" t="s">
        <v>1888</v>
      </c>
      <c r="CQ1523" s="584" t="s">
        <v>5306</v>
      </c>
      <c r="CR1523" s="584" t="s">
        <v>5306</v>
      </c>
      <c r="CS1523" s="584" t="s">
        <v>5153</v>
      </c>
      <c r="CT1523" s="584" t="s">
        <v>5154</v>
      </c>
      <c r="CU1523" s="584" t="s">
        <v>2185</v>
      </c>
      <c r="CV1523" s="585" t="s">
        <v>5155</v>
      </c>
    </row>
    <row r="1524" spans="91:100" x14ac:dyDescent="0.25">
      <c r="CM1524" s="582"/>
      <c r="CN1524" s="584" t="s">
        <v>5307</v>
      </c>
      <c r="CO1524" s="584" t="s">
        <v>1912</v>
      </c>
      <c r="CP1524" s="584" t="s">
        <v>1888</v>
      </c>
      <c r="CQ1524" s="584" t="s">
        <v>5308</v>
      </c>
      <c r="CR1524" s="584" t="s">
        <v>5309</v>
      </c>
      <c r="CS1524" s="584" t="s">
        <v>1890</v>
      </c>
      <c r="CT1524" s="584" t="s">
        <v>5168</v>
      </c>
      <c r="CU1524" s="584" t="s">
        <v>1892</v>
      </c>
      <c r="CV1524" s="585" t="s">
        <v>1893</v>
      </c>
    </row>
    <row r="1525" spans="91:100" ht="25.5" x14ac:dyDescent="0.25">
      <c r="CM1525" s="582"/>
      <c r="CN1525" s="584" t="s">
        <v>5310</v>
      </c>
      <c r="CO1525" s="584" t="s">
        <v>1912</v>
      </c>
      <c r="CP1525" s="584" t="s">
        <v>1888</v>
      </c>
      <c r="CQ1525" s="584" t="s">
        <v>5311</v>
      </c>
      <c r="CR1525" s="584" t="s">
        <v>5312</v>
      </c>
      <c r="CS1525" s="584" t="s">
        <v>5153</v>
      </c>
      <c r="CT1525" s="584" t="s">
        <v>5154</v>
      </c>
      <c r="CU1525" s="584" t="s">
        <v>2185</v>
      </c>
      <c r="CV1525" s="585" t="s">
        <v>5155</v>
      </c>
    </row>
    <row r="1526" spans="91:100" ht="25.5" x14ac:dyDescent="0.25">
      <c r="CM1526" s="582"/>
      <c r="CN1526" s="584" t="s">
        <v>5313</v>
      </c>
      <c r="CO1526" s="584" t="s">
        <v>1912</v>
      </c>
      <c r="CP1526" s="584" t="s">
        <v>1888</v>
      </c>
      <c r="CQ1526" s="584" t="s">
        <v>5314</v>
      </c>
      <c r="CR1526" s="584" t="s">
        <v>5314</v>
      </c>
      <c r="CS1526" s="584" t="s">
        <v>5153</v>
      </c>
      <c r="CT1526" s="584" t="s">
        <v>5154</v>
      </c>
      <c r="CU1526" s="584" t="s">
        <v>2185</v>
      </c>
      <c r="CV1526" s="585" t="s">
        <v>5155</v>
      </c>
    </row>
    <row r="1527" spans="91:100" x14ac:dyDescent="0.25">
      <c r="CM1527" s="582"/>
      <c r="CN1527" s="584" t="s">
        <v>5315</v>
      </c>
      <c r="CO1527" s="584" t="s">
        <v>1912</v>
      </c>
      <c r="CP1527" s="584" t="s">
        <v>1888</v>
      </c>
      <c r="CQ1527" s="584" t="s">
        <v>5316</v>
      </c>
      <c r="CR1527" s="584" t="s">
        <v>5316</v>
      </c>
      <c r="CS1527" s="584" t="s">
        <v>1890</v>
      </c>
      <c r="CT1527" s="584" t="s">
        <v>5168</v>
      </c>
      <c r="CU1527" s="584" t="s">
        <v>1892</v>
      </c>
      <c r="CV1527" s="585" t="s">
        <v>1893</v>
      </c>
    </row>
    <row r="1528" spans="91:100" x14ac:dyDescent="0.25">
      <c r="CM1528" s="582"/>
      <c r="CN1528" s="584" t="s">
        <v>5317</v>
      </c>
      <c r="CO1528" s="584" t="s">
        <v>1912</v>
      </c>
      <c r="CP1528" s="584" t="s">
        <v>1888</v>
      </c>
      <c r="CQ1528" s="584" t="s">
        <v>5318</v>
      </c>
      <c r="CR1528" s="584" t="s">
        <v>5318</v>
      </c>
      <c r="CS1528" s="584" t="s">
        <v>1890</v>
      </c>
      <c r="CT1528" s="584" t="s">
        <v>5168</v>
      </c>
      <c r="CU1528" s="584" t="s">
        <v>1892</v>
      </c>
      <c r="CV1528" s="585" t="s">
        <v>1893</v>
      </c>
    </row>
    <row r="1529" spans="91:100" ht="25.5" x14ac:dyDescent="0.25">
      <c r="CM1529" s="582"/>
      <c r="CN1529" s="584" t="s">
        <v>5319</v>
      </c>
      <c r="CO1529" s="584" t="s">
        <v>1912</v>
      </c>
      <c r="CP1529" s="584" t="s">
        <v>1888</v>
      </c>
      <c r="CQ1529" s="584" t="s">
        <v>5320</v>
      </c>
      <c r="CR1529" s="584" t="s">
        <v>5320</v>
      </c>
      <c r="CS1529" s="584" t="s">
        <v>5153</v>
      </c>
      <c r="CT1529" s="584" t="s">
        <v>5154</v>
      </c>
      <c r="CU1529" s="584" t="s">
        <v>2185</v>
      </c>
      <c r="CV1529" s="585" t="s">
        <v>5155</v>
      </c>
    </row>
    <row r="1530" spans="91:100" ht="25.5" x14ac:dyDescent="0.25">
      <c r="CM1530" s="582"/>
      <c r="CN1530" s="584" t="s">
        <v>5321</v>
      </c>
      <c r="CO1530" s="584" t="s">
        <v>1912</v>
      </c>
      <c r="CP1530" s="584" t="s">
        <v>1888</v>
      </c>
      <c r="CQ1530" s="584" t="s">
        <v>5322</v>
      </c>
      <c r="CR1530" s="584" t="s">
        <v>5322</v>
      </c>
      <c r="CS1530" s="584" t="s">
        <v>5153</v>
      </c>
      <c r="CT1530" s="584" t="s">
        <v>5154</v>
      </c>
      <c r="CU1530" s="584" t="s">
        <v>2185</v>
      </c>
      <c r="CV1530" s="585" t="s">
        <v>5155</v>
      </c>
    </row>
    <row r="1531" spans="91:100" x14ac:dyDescent="0.25">
      <c r="CM1531" s="582"/>
      <c r="CN1531" s="584" t="s">
        <v>5323</v>
      </c>
      <c r="CO1531" s="584" t="s">
        <v>1912</v>
      </c>
      <c r="CP1531" s="584" t="s">
        <v>1888</v>
      </c>
      <c r="CQ1531" s="584" t="s">
        <v>5324</v>
      </c>
      <c r="CR1531" s="584" t="s">
        <v>5325</v>
      </c>
      <c r="CS1531" s="584" t="s">
        <v>1890</v>
      </c>
      <c r="CT1531" s="584" t="s">
        <v>5168</v>
      </c>
      <c r="CU1531" s="584" t="s">
        <v>1892</v>
      </c>
      <c r="CV1531" s="585" t="s">
        <v>1893</v>
      </c>
    </row>
    <row r="1532" spans="91:100" x14ac:dyDescent="0.25">
      <c r="CM1532" s="582"/>
      <c r="CN1532" s="584" t="s">
        <v>5326</v>
      </c>
      <c r="CO1532" s="584" t="s">
        <v>1912</v>
      </c>
      <c r="CP1532" s="584" t="s">
        <v>1888</v>
      </c>
      <c r="CQ1532" s="584" t="s">
        <v>5327</v>
      </c>
      <c r="CR1532" s="584" t="s">
        <v>5327</v>
      </c>
      <c r="CS1532" s="584" t="s">
        <v>1890</v>
      </c>
      <c r="CT1532" s="584" t="s">
        <v>5168</v>
      </c>
      <c r="CU1532" s="584" t="s">
        <v>1892</v>
      </c>
      <c r="CV1532" s="585" t="s">
        <v>1893</v>
      </c>
    </row>
    <row r="1533" spans="91:100" ht="25.5" x14ac:dyDescent="0.25">
      <c r="CM1533" s="582"/>
      <c r="CN1533" s="584" t="s">
        <v>5328</v>
      </c>
      <c r="CO1533" s="584" t="s">
        <v>1912</v>
      </c>
      <c r="CP1533" s="584" t="s">
        <v>1888</v>
      </c>
      <c r="CQ1533" s="584" t="s">
        <v>5329</v>
      </c>
      <c r="CR1533" s="584" t="s">
        <v>5329</v>
      </c>
      <c r="CS1533" s="584" t="s">
        <v>5153</v>
      </c>
      <c r="CT1533" s="584" t="s">
        <v>5154</v>
      </c>
      <c r="CU1533" s="584" t="s">
        <v>2185</v>
      </c>
      <c r="CV1533" s="585" t="s">
        <v>5155</v>
      </c>
    </row>
    <row r="1534" spans="91:100" x14ac:dyDescent="0.25">
      <c r="CM1534" s="582"/>
      <c r="CN1534" s="584" t="s">
        <v>5330</v>
      </c>
      <c r="CO1534" s="584" t="s">
        <v>1912</v>
      </c>
      <c r="CP1534" s="584" t="s">
        <v>1888</v>
      </c>
      <c r="CQ1534" s="584" t="s">
        <v>5331</v>
      </c>
      <c r="CR1534" s="584" t="s">
        <v>5331</v>
      </c>
      <c r="CS1534" s="584" t="s">
        <v>1890</v>
      </c>
      <c r="CT1534" s="584" t="s">
        <v>5168</v>
      </c>
      <c r="CU1534" s="584" t="s">
        <v>1892</v>
      </c>
      <c r="CV1534" s="585" t="s">
        <v>1893</v>
      </c>
    </row>
    <row r="1535" spans="91:100" x14ac:dyDescent="0.25">
      <c r="CM1535" s="582"/>
      <c r="CN1535" s="584" t="s">
        <v>5332</v>
      </c>
      <c r="CO1535" s="584" t="s">
        <v>1912</v>
      </c>
      <c r="CP1535" s="584" t="s">
        <v>1888</v>
      </c>
      <c r="CQ1535" s="584" t="s">
        <v>5333</v>
      </c>
      <c r="CR1535" s="584" t="s">
        <v>5333</v>
      </c>
      <c r="CS1535" s="584" t="s">
        <v>1978</v>
      </c>
      <c r="CT1535" s="584" t="s">
        <v>1979</v>
      </c>
      <c r="CU1535" s="584" t="s">
        <v>1892</v>
      </c>
      <c r="CV1535" s="585" t="s">
        <v>1980</v>
      </c>
    </row>
    <row r="1536" spans="91:100" x14ac:dyDescent="0.25">
      <c r="CM1536" s="582"/>
      <c r="CN1536" s="584" t="s">
        <v>5334</v>
      </c>
      <c r="CO1536" s="584" t="s">
        <v>1912</v>
      </c>
      <c r="CP1536" s="584" t="s">
        <v>1888</v>
      </c>
      <c r="CQ1536" s="584" t="s">
        <v>5335</v>
      </c>
      <c r="CR1536" s="584" t="s">
        <v>5335</v>
      </c>
      <c r="CS1536" s="584" t="s">
        <v>1890</v>
      </c>
      <c r="CT1536" s="584" t="s">
        <v>5168</v>
      </c>
      <c r="CU1536" s="584" t="s">
        <v>1892</v>
      </c>
      <c r="CV1536" s="585" t="s">
        <v>1893</v>
      </c>
    </row>
    <row r="1537" spans="91:100" x14ac:dyDescent="0.25">
      <c r="CM1537" s="582"/>
      <c r="CN1537" s="584" t="s">
        <v>5336</v>
      </c>
      <c r="CO1537" s="584" t="s">
        <v>1912</v>
      </c>
      <c r="CP1537" s="584" t="s">
        <v>1888</v>
      </c>
      <c r="CQ1537" s="584" t="s">
        <v>5337</v>
      </c>
      <c r="CR1537" s="584" t="s">
        <v>5337</v>
      </c>
      <c r="CS1537" s="584" t="s">
        <v>1978</v>
      </c>
      <c r="CT1537" s="584" t="s">
        <v>1979</v>
      </c>
      <c r="CU1537" s="584" t="s">
        <v>1892</v>
      </c>
      <c r="CV1537" s="585" t="s">
        <v>1980</v>
      </c>
    </row>
    <row r="1538" spans="91:100" x14ac:dyDescent="0.25">
      <c r="CM1538" s="582"/>
      <c r="CN1538" s="584" t="s">
        <v>5338</v>
      </c>
      <c r="CO1538" s="584" t="s">
        <v>1912</v>
      </c>
      <c r="CP1538" s="584" t="s">
        <v>1888</v>
      </c>
      <c r="CQ1538" s="584" t="s">
        <v>5339</v>
      </c>
      <c r="CR1538" s="584" t="s">
        <v>5340</v>
      </c>
      <c r="CS1538" s="584" t="s">
        <v>1890</v>
      </c>
      <c r="CT1538" s="584" t="s">
        <v>5168</v>
      </c>
      <c r="CU1538" s="584" t="s">
        <v>1892</v>
      </c>
      <c r="CV1538" s="585" t="s">
        <v>1893</v>
      </c>
    </row>
    <row r="1539" spans="91:100" ht="25.5" x14ac:dyDescent="0.25">
      <c r="CM1539" s="582"/>
      <c r="CN1539" s="584" t="s">
        <v>5341</v>
      </c>
      <c r="CO1539" s="584" t="s">
        <v>1912</v>
      </c>
      <c r="CP1539" s="584" t="s">
        <v>1888</v>
      </c>
      <c r="CQ1539" s="584" t="s">
        <v>5342</v>
      </c>
      <c r="CR1539" s="584" t="s">
        <v>5343</v>
      </c>
      <c r="CS1539" s="584" t="s">
        <v>5153</v>
      </c>
      <c r="CT1539" s="584" t="s">
        <v>5154</v>
      </c>
      <c r="CU1539" s="584" t="s">
        <v>2185</v>
      </c>
      <c r="CV1539" s="585" t="s">
        <v>5155</v>
      </c>
    </row>
    <row r="1540" spans="91:100" ht="25.5" x14ac:dyDescent="0.25">
      <c r="CM1540" s="582"/>
      <c r="CN1540" s="584" t="s">
        <v>5344</v>
      </c>
      <c r="CO1540" s="584" t="s">
        <v>1912</v>
      </c>
      <c r="CP1540" s="584" t="s">
        <v>1888</v>
      </c>
      <c r="CQ1540" s="584" t="s">
        <v>5345</v>
      </c>
      <c r="CR1540" s="584" t="s">
        <v>5346</v>
      </c>
      <c r="CS1540" s="584" t="s">
        <v>5153</v>
      </c>
      <c r="CT1540" s="584" t="s">
        <v>5154</v>
      </c>
      <c r="CU1540" s="584" t="s">
        <v>2185</v>
      </c>
      <c r="CV1540" s="585" t="s">
        <v>5155</v>
      </c>
    </row>
    <row r="1541" spans="91:100" x14ac:dyDescent="0.25">
      <c r="CM1541" s="582"/>
      <c r="CN1541" s="584" t="s">
        <v>5347</v>
      </c>
      <c r="CO1541" s="584" t="s">
        <v>1912</v>
      </c>
      <c r="CP1541" s="584" t="s">
        <v>1888</v>
      </c>
      <c r="CQ1541" s="584" t="s">
        <v>5348</v>
      </c>
      <c r="CR1541" s="584" t="s">
        <v>5349</v>
      </c>
      <c r="CS1541" s="584" t="s">
        <v>1978</v>
      </c>
      <c r="CT1541" s="584" t="s">
        <v>1979</v>
      </c>
      <c r="CU1541" s="584" t="s">
        <v>1892</v>
      </c>
      <c r="CV1541" s="585" t="s">
        <v>1980</v>
      </c>
    </row>
    <row r="1542" spans="91:100" ht="25.5" x14ac:dyDescent="0.25">
      <c r="CM1542" s="582"/>
      <c r="CN1542" s="584" t="s">
        <v>5350</v>
      </c>
      <c r="CO1542" s="584" t="s">
        <v>1912</v>
      </c>
      <c r="CP1542" s="584" t="s">
        <v>1888</v>
      </c>
      <c r="CQ1542" s="584" t="s">
        <v>5351</v>
      </c>
      <c r="CR1542" s="584" t="s">
        <v>5352</v>
      </c>
      <c r="CS1542" s="584" t="s">
        <v>5153</v>
      </c>
      <c r="CT1542" s="584" t="s">
        <v>5154</v>
      </c>
      <c r="CU1542" s="584" t="s">
        <v>2185</v>
      </c>
      <c r="CV1542" s="585" t="s">
        <v>5155</v>
      </c>
    </row>
    <row r="1543" spans="91:100" x14ac:dyDescent="0.25">
      <c r="CM1543" s="582"/>
      <c r="CN1543" s="584" t="s">
        <v>5353</v>
      </c>
      <c r="CO1543" s="584" t="s">
        <v>1912</v>
      </c>
      <c r="CP1543" s="584" t="s">
        <v>1888</v>
      </c>
      <c r="CQ1543" s="584" t="s">
        <v>5354</v>
      </c>
      <c r="CR1543" s="584" t="s">
        <v>5355</v>
      </c>
      <c r="CS1543" s="584" t="s">
        <v>1890</v>
      </c>
      <c r="CT1543" s="584" t="s">
        <v>5168</v>
      </c>
      <c r="CU1543" s="584" t="s">
        <v>1892</v>
      </c>
      <c r="CV1543" s="585" t="s">
        <v>1893</v>
      </c>
    </row>
    <row r="1544" spans="91:100" ht="25.5" x14ac:dyDescent="0.25">
      <c r="CM1544" s="582"/>
      <c r="CN1544" s="584" t="s">
        <v>5356</v>
      </c>
      <c r="CO1544" s="584" t="s">
        <v>1912</v>
      </c>
      <c r="CP1544" s="584" t="s">
        <v>1888</v>
      </c>
      <c r="CQ1544" s="584" t="s">
        <v>5357</v>
      </c>
      <c r="CR1544" s="584" t="s">
        <v>5358</v>
      </c>
      <c r="CS1544" s="584" t="s">
        <v>5153</v>
      </c>
      <c r="CT1544" s="584" t="s">
        <v>5154</v>
      </c>
      <c r="CU1544" s="584" t="s">
        <v>2185</v>
      </c>
      <c r="CV1544" s="585" t="s">
        <v>5155</v>
      </c>
    </row>
    <row r="1545" spans="91:100" ht="25.5" x14ac:dyDescent="0.25">
      <c r="CM1545" s="582"/>
      <c r="CN1545" s="584" t="s">
        <v>5359</v>
      </c>
      <c r="CO1545" s="584" t="s">
        <v>1912</v>
      </c>
      <c r="CP1545" s="584" t="s">
        <v>1888</v>
      </c>
      <c r="CQ1545" s="584" t="s">
        <v>5360</v>
      </c>
      <c r="CR1545" s="584" t="s">
        <v>5361</v>
      </c>
      <c r="CS1545" s="584" t="s">
        <v>5153</v>
      </c>
      <c r="CT1545" s="584" t="s">
        <v>5154</v>
      </c>
      <c r="CU1545" s="584" t="s">
        <v>2185</v>
      </c>
      <c r="CV1545" s="585" t="s">
        <v>5155</v>
      </c>
    </row>
    <row r="1546" spans="91:100" x14ac:dyDescent="0.25">
      <c r="CM1546" s="582"/>
      <c r="CN1546" s="584" t="s">
        <v>5362</v>
      </c>
      <c r="CO1546" s="584" t="s">
        <v>1912</v>
      </c>
      <c r="CP1546" s="584" t="s">
        <v>1888</v>
      </c>
      <c r="CQ1546" s="584" t="s">
        <v>5363</v>
      </c>
      <c r="CR1546" s="584" t="s">
        <v>5364</v>
      </c>
      <c r="CS1546" s="584" t="s">
        <v>1890</v>
      </c>
      <c r="CT1546" s="584" t="s">
        <v>5168</v>
      </c>
      <c r="CU1546" s="584" t="s">
        <v>1892</v>
      </c>
      <c r="CV1546" s="585" t="s">
        <v>1893</v>
      </c>
    </row>
    <row r="1547" spans="91:100" x14ac:dyDescent="0.25">
      <c r="CM1547" s="582"/>
      <c r="CN1547" s="584" t="s">
        <v>5365</v>
      </c>
      <c r="CO1547" s="584" t="s">
        <v>1912</v>
      </c>
      <c r="CP1547" s="584" t="s">
        <v>1888</v>
      </c>
      <c r="CQ1547" s="584" t="s">
        <v>3021</v>
      </c>
      <c r="CR1547" s="584" t="s">
        <v>3022</v>
      </c>
      <c r="CS1547" s="584" t="s">
        <v>1890</v>
      </c>
      <c r="CT1547" s="584" t="s">
        <v>5168</v>
      </c>
      <c r="CU1547" s="584" t="s">
        <v>1892</v>
      </c>
      <c r="CV1547" s="585" t="s">
        <v>1893</v>
      </c>
    </row>
    <row r="1548" spans="91:100" x14ac:dyDescent="0.25">
      <c r="CM1548" s="582"/>
      <c r="CN1548" s="584" t="s">
        <v>5366</v>
      </c>
      <c r="CO1548" s="584" t="s">
        <v>1912</v>
      </c>
      <c r="CP1548" s="584" t="s">
        <v>1888</v>
      </c>
      <c r="CQ1548" s="584" t="s">
        <v>5367</v>
      </c>
      <c r="CR1548" s="584" t="s">
        <v>5368</v>
      </c>
      <c r="CS1548" s="584" t="s">
        <v>1890</v>
      </c>
      <c r="CT1548" s="584" t="s">
        <v>5168</v>
      </c>
      <c r="CU1548" s="584" t="s">
        <v>1892</v>
      </c>
      <c r="CV1548" s="585" t="s">
        <v>1893</v>
      </c>
    </row>
    <row r="1549" spans="91:100" ht="25.5" x14ac:dyDescent="0.25">
      <c r="CM1549" s="582"/>
      <c r="CN1549" s="584" t="s">
        <v>5369</v>
      </c>
      <c r="CO1549" s="584" t="s">
        <v>1912</v>
      </c>
      <c r="CP1549" s="584" t="s">
        <v>1888</v>
      </c>
      <c r="CQ1549" s="584" t="s">
        <v>5370</v>
      </c>
      <c r="CR1549" s="584" t="s">
        <v>5370</v>
      </c>
      <c r="CS1549" s="584" t="s">
        <v>5153</v>
      </c>
      <c r="CT1549" s="584" t="s">
        <v>5154</v>
      </c>
      <c r="CU1549" s="584" t="s">
        <v>2185</v>
      </c>
      <c r="CV1549" s="585" t="s">
        <v>5155</v>
      </c>
    </row>
    <row r="1550" spans="91:100" ht="25.5" x14ac:dyDescent="0.25">
      <c r="CM1550" s="582"/>
      <c r="CN1550" s="584" t="s">
        <v>5371</v>
      </c>
      <c r="CO1550" s="584" t="s">
        <v>1912</v>
      </c>
      <c r="CP1550" s="584" t="s">
        <v>1888</v>
      </c>
      <c r="CQ1550" s="584" t="s">
        <v>5372</v>
      </c>
      <c r="CR1550" s="584" t="s">
        <v>5372</v>
      </c>
      <c r="CS1550" s="584" t="s">
        <v>5153</v>
      </c>
      <c r="CT1550" s="584" t="s">
        <v>5154</v>
      </c>
      <c r="CU1550" s="584" t="s">
        <v>2185</v>
      </c>
      <c r="CV1550" s="585" t="s">
        <v>5155</v>
      </c>
    </row>
    <row r="1551" spans="91:100" ht="25.5" x14ac:dyDescent="0.25">
      <c r="CM1551" s="582"/>
      <c r="CN1551" s="584" t="s">
        <v>5373</v>
      </c>
      <c r="CO1551" s="584" t="s">
        <v>1912</v>
      </c>
      <c r="CP1551" s="584" t="s">
        <v>1888</v>
      </c>
      <c r="CQ1551" s="584" t="s">
        <v>5374</v>
      </c>
      <c r="CR1551" s="584" t="s">
        <v>5374</v>
      </c>
      <c r="CS1551" s="584" t="s">
        <v>5153</v>
      </c>
      <c r="CT1551" s="584" t="s">
        <v>5154</v>
      </c>
      <c r="CU1551" s="584" t="s">
        <v>2185</v>
      </c>
      <c r="CV1551" s="585" t="s">
        <v>5155</v>
      </c>
    </row>
    <row r="1552" spans="91:100" ht="25.5" x14ac:dyDescent="0.25">
      <c r="CM1552" s="582"/>
      <c r="CN1552" s="584" t="s">
        <v>5375</v>
      </c>
      <c r="CO1552" s="584" t="s">
        <v>1912</v>
      </c>
      <c r="CP1552" s="584" t="s">
        <v>1888</v>
      </c>
      <c r="CQ1552" s="584" t="s">
        <v>5376</v>
      </c>
      <c r="CR1552" s="584" t="s">
        <v>5376</v>
      </c>
      <c r="CS1552" s="584" t="s">
        <v>5153</v>
      </c>
      <c r="CT1552" s="584" t="s">
        <v>5154</v>
      </c>
      <c r="CU1552" s="584" t="s">
        <v>2185</v>
      </c>
      <c r="CV1552" s="585" t="s">
        <v>5155</v>
      </c>
    </row>
    <row r="1553" spans="91:100" ht="25.5" x14ac:dyDescent="0.25">
      <c r="CM1553" s="582"/>
      <c r="CN1553" s="584" t="s">
        <v>5377</v>
      </c>
      <c r="CO1553" s="584" t="s">
        <v>1912</v>
      </c>
      <c r="CP1553" s="584" t="s">
        <v>1888</v>
      </c>
      <c r="CQ1553" s="584" t="s">
        <v>5378</v>
      </c>
      <c r="CR1553" s="584" t="s">
        <v>5378</v>
      </c>
      <c r="CS1553" s="584" t="s">
        <v>5153</v>
      </c>
      <c r="CT1553" s="584" t="s">
        <v>5154</v>
      </c>
      <c r="CU1553" s="584" t="s">
        <v>2185</v>
      </c>
      <c r="CV1553" s="585" t="s">
        <v>5155</v>
      </c>
    </row>
    <row r="1554" spans="91:100" x14ac:dyDescent="0.25">
      <c r="CM1554" s="582"/>
      <c r="CN1554" s="584" t="s">
        <v>5379</v>
      </c>
      <c r="CO1554" s="584" t="s">
        <v>1912</v>
      </c>
      <c r="CP1554" s="584" t="s">
        <v>1888</v>
      </c>
      <c r="CQ1554" s="584" t="s">
        <v>5380</v>
      </c>
      <c r="CR1554" s="584" t="s">
        <v>5380</v>
      </c>
      <c r="CS1554" s="584" t="s">
        <v>1890</v>
      </c>
      <c r="CT1554" s="584" t="s">
        <v>5168</v>
      </c>
      <c r="CU1554" s="584" t="s">
        <v>1892</v>
      </c>
      <c r="CV1554" s="585" t="s">
        <v>1893</v>
      </c>
    </row>
    <row r="1555" spans="91:100" x14ac:dyDescent="0.25">
      <c r="CM1555" s="582"/>
      <c r="CN1555" s="584" t="s">
        <v>5381</v>
      </c>
      <c r="CO1555" s="584" t="s">
        <v>1912</v>
      </c>
      <c r="CP1555" s="584" t="s">
        <v>1888</v>
      </c>
      <c r="CQ1555" s="584" t="s">
        <v>5382</v>
      </c>
      <c r="CR1555" s="584" t="s">
        <v>5382</v>
      </c>
      <c r="CS1555" s="584" t="s">
        <v>1890</v>
      </c>
      <c r="CT1555" s="584" t="s">
        <v>5168</v>
      </c>
      <c r="CU1555" s="584" t="s">
        <v>1892</v>
      </c>
      <c r="CV1555" s="585" t="s">
        <v>1893</v>
      </c>
    </row>
    <row r="1556" spans="91:100" x14ac:dyDescent="0.25">
      <c r="CM1556" s="582"/>
      <c r="CN1556" s="584" t="s">
        <v>5383</v>
      </c>
      <c r="CO1556" s="584" t="s">
        <v>1912</v>
      </c>
      <c r="CP1556" s="584" t="s">
        <v>1888</v>
      </c>
      <c r="CQ1556" s="584" t="s">
        <v>5384</v>
      </c>
      <c r="CR1556" s="584" t="s">
        <v>5384</v>
      </c>
      <c r="CS1556" s="584" t="s">
        <v>1890</v>
      </c>
      <c r="CT1556" s="584" t="s">
        <v>5168</v>
      </c>
      <c r="CU1556" s="584" t="s">
        <v>1892</v>
      </c>
      <c r="CV1556" s="585" t="s">
        <v>1893</v>
      </c>
    </row>
    <row r="1557" spans="91:100" ht="25.5" x14ac:dyDescent="0.25">
      <c r="CM1557" s="582"/>
      <c r="CN1557" s="584" t="s">
        <v>5385</v>
      </c>
      <c r="CO1557" s="584" t="s">
        <v>1912</v>
      </c>
      <c r="CP1557" s="584" t="s">
        <v>1888</v>
      </c>
      <c r="CQ1557" s="584" t="s">
        <v>5386</v>
      </c>
      <c r="CR1557" s="584" t="s">
        <v>5387</v>
      </c>
      <c r="CS1557" s="584" t="s">
        <v>5153</v>
      </c>
      <c r="CT1557" s="584" t="s">
        <v>5154</v>
      </c>
      <c r="CU1557" s="584" t="s">
        <v>2185</v>
      </c>
      <c r="CV1557" s="585" t="s">
        <v>5155</v>
      </c>
    </row>
    <row r="1558" spans="91:100" ht="25.5" x14ac:dyDescent="0.25">
      <c r="CM1558" s="582"/>
      <c r="CN1558" s="584" t="s">
        <v>5388</v>
      </c>
      <c r="CO1558" s="584" t="s">
        <v>1912</v>
      </c>
      <c r="CP1558" s="584" t="s">
        <v>1888</v>
      </c>
      <c r="CQ1558" s="584" t="s">
        <v>5389</v>
      </c>
      <c r="CR1558" s="584" t="s">
        <v>5389</v>
      </c>
      <c r="CS1558" s="584" t="s">
        <v>5153</v>
      </c>
      <c r="CT1558" s="584" t="s">
        <v>5154</v>
      </c>
      <c r="CU1558" s="584" t="s">
        <v>2185</v>
      </c>
      <c r="CV1558" s="585" t="s">
        <v>5155</v>
      </c>
    </row>
    <row r="1559" spans="91:100" ht="25.5" x14ac:dyDescent="0.25">
      <c r="CM1559" s="582"/>
      <c r="CN1559" s="584" t="s">
        <v>5390</v>
      </c>
      <c r="CO1559" s="584" t="s">
        <v>1912</v>
      </c>
      <c r="CP1559" s="584" t="s">
        <v>1888</v>
      </c>
      <c r="CQ1559" s="584" t="s">
        <v>5391</v>
      </c>
      <c r="CR1559" s="584" t="s">
        <v>5392</v>
      </c>
      <c r="CS1559" s="584" t="s">
        <v>5153</v>
      </c>
      <c r="CT1559" s="584" t="s">
        <v>5154</v>
      </c>
      <c r="CU1559" s="584" t="s">
        <v>2185</v>
      </c>
      <c r="CV1559" s="585" t="s">
        <v>5155</v>
      </c>
    </row>
    <row r="1560" spans="91:100" ht="25.5" x14ac:dyDescent="0.25">
      <c r="CM1560" s="582"/>
      <c r="CN1560" s="584" t="s">
        <v>5393</v>
      </c>
      <c r="CO1560" s="584" t="s">
        <v>1912</v>
      </c>
      <c r="CP1560" s="584" t="s">
        <v>1888</v>
      </c>
      <c r="CQ1560" s="584" t="s">
        <v>5394</v>
      </c>
      <c r="CR1560" s="584" t="s">
        <v>5395</v>
      </c>
      <c r="CS1560" s="584" t="s">
        <v>5153</v>
      </c>
      <c r="CT1560" s="584" t="s">
        <v>5154</v>
      </c>
      <c r="CU1560" s="584" t="s">
        <v>2185</v>
      </c>
      <c r="CV1560" s="585" t="s">
        <v>5155</v>
      </c>
    </row>
    <row r="1561" spans="91:100" ht="25.5" x14ac:dyDescent="0.25">
      <c r="CM1561" s="582"/>
      <c r="CN1561" s="584" t="s">
        <v>5396</v>
      </c>
      <c r="CO1561" s="584" t="s">
        <v>1912</v>
      </c>
      <c r="CP1561" s="584" t="s">
        <v>1888</v>
      </c>
      <c r="CQ1561" s="584" t="s">
        <v>5397</v>
      </c>
      <c r="CR1561" s="584" t="s">
        <v>5397</v>
      </c>
      <c r="CS1561" s="584" t="s">
        <v>5153</v>
      </c>
      <c r="CT1561" s="584" t="s">
        <v>5154</v>
      </c>
      <c r="CU1561" s="584" t="s">
        <v>2185</v>
      </c>
      <c r="CV1561" s="585" t="s">
        <v>5155</v>
      </c>
    </row>
    <row r="1562" spans="91:100" x14ac:dyDescent="0.25">
      <c r="CM1562" s="582"/>
      <c r="CN1562" s="584" t="s">
        <v>5398</v>
      </c>
      <c r="CO1562" s="584" t="s">
        <v>1912</v>
      </c>
      <c r="CP1562" s="584" t="s">
        <v>1888</v>
      </c>
      <c r="CQ1562" s="584" t="s">
        <v>5399</v>
      </c>
      <c r="CR1562" s="584" t="s">
        <v>5399</v>
      </c>
      <c r="CS1562" s="584" t="s">
        <v>1890</v>
      </c>
      <c r="CT1562" s="584" t="s">
        <v>5168</v>
      </c>
      <c r="CU1562" s="584" t="s">
        <v>1892</v>
      </c>
      <c r="CV1562" s="585" t="s">
        <v>1893</v>
      </c>
    </row>
    <row r="1563" spans="91:100" x14ac:dyDescent="0.25">
      <c r="CM1563" s="582"/>
      <c r="CN1563" s="584" t="s">
        <v>5400</v>
      </c>
      <c r="CO1563" s="584" t="s">
        <v>1912</v>
      </c>
      <c r="CP1563" s="584" t="s">
        <v>1888</v>
      </c>
      <c r="CQ1563" s="584" t="s">
        <v>5401</v>
      </c>
      <c r="CR1563" s="584" t="s">
        <v>5401</v>
      </c>
      <c r="CS1563" s="584" t="s">
        <v>1890</v>
      </c>
      <c r="CT1563" s="584" t="s">
        <v>5168</v>
      </c>
      <c r="CU1563" s="584" t="s">
        <v>1892</v>
      </c>
      <c r="CV1563" s="585" t="s">
        <v>1893</v>
      </c>
    </row>
    <row r="1564" spans="91:100" ht="25.5" x14ac:dyDescent="0.25">
      <c r="CM1564" s="582"/>
      <c r="CN1564" s="584" t="s">
        <v>5402</v>
      </c>
      <c r="CO1564" s="584" t="s">
        <v>1912</v>
      </c>
      <c r="CP1564" s="584" t="s">
        <v>1888</v>
      </c>
      <c r="CQ1564" s="584" t="s">
        <v>5403</v>
      </c>
      <c r="CR1564" s="584" t="s">
        <v>5403</v>
      </c>
      <c r="CS1564" s="584" t="s">
        <v>5153</v>
      </c>
      <c r="CT1564" s="584" t="s">
        <v>5154</v>
      </c>
      <c r="CU1564" s="584" t="s">
        <v>2185</v>
      </c>
      <c r="CV1564" s="585" t="s">
        <v>5155</v>
      </c>
    </row>
    <row r="1565" spans="91:100" x14ac:dyDescent="0.25">
      <c r="CM1565" s="582"/>
      <c r="CN1565" s="584" t="s">
        <v>5404</v>
      </c>
      <c r="CO1565" s="584" t="s">
        <v>1912</v>
      </c>
      <c r="CP1565" s="584" t="s">
        <v>1888</v>
      </c>
      <c r="CQ1565" s="584" t="s">
        <v>5405</v>
      </c>
      <c r="CR1565" s="584" t="s">
        <v>5405</v>
      </c>
      <c r="CS1565" s="584" t="s">
        <v>1890</v>
      </c>
      <c r="CT1565" s="584" t="s">
        <v>5168</v>
      </c>
      <c r="CU1565" s="584" t="s">
        <v>1892</v>
      </c>
      <c r="CV1565" s="585" t="s">
        <v>1893</v>
      </c>
    </row>
    <row r="1566" spans="91:100" x14ac:dyDescent="0.25">
      <c r="CM1566" s="582"/>
      <c r="CN1566" s="584" t="s">
        <v>5406</v>
      </c>
      <c r="CO1566" s="584" t="s">
        <v>1912</v>
      </c>
      <c r="CP1566" s="584" t="s">
        <v>1888</v>
      </c>
      <c r="CQ1566" s="584" t="s">
        <v>5407</v>
      </c>
      <c r="CR1566" s="584" t="s">
        <v>5407</v>
      </c>
      <c r="CS1566" s="584" t="s">
        <v>1890</v>
      </c>
      <c r="CT1566" s="584" t="s">
        <v>5168</v>
      </c>
      <c r="CU1566" s="584" t="s">
        <v>1892</v>
      </c>
      <c r="CV1566" s="585" t="s">
        <v>1893</v>
      </c>
    </row>
    <row r="1567" spans="91:100" ht="25.5" x14ac:dyDescent="0.25">
      <c r="CM1567" s="582"/>
      <c r="CN1567" s="584" t="s">
        <v>5408</v>
      </c>
      <c r="CO1567" s="584" t="s">
        <v>1912</v>
      </c>
      <c r="CP1567" s="584" t="s">
        <v>1888</v>
      </c>
      <c r="CQ1567" s="584" t="s">
        <v>5409</v>
      </c>
      <c r="CR1567" s="584" t="s">
        <v>5410</v>
      </c>
      <c r="CS1567" s="584" t="s">
        <v>5153</v>
      </c>
      <c r="CT1567" s="584" t="s">
        <v>5154</v>
      </c>
      <c r="CU1567" s="584" t="s">
        <v>2185</v>
      </c>
      <c r="CV1567" s="585" t="s">
        <v>5155</v>
      </c>
    </row>
    <row r="1568" spans="91:100" ht="25.5" x14ac:dyDescent="0.25">
      <c r="CM1568" s="582"/>
      <c r="CN1568" s="584" t="s">
        <v>5411</v>
      </c>
      <c r="CO1568" s="584" t="s">
        <v>1912</v>
      </c>
      <c r="CP1568" s="584" t="s">
        <v>1888</v>
      </c>
      <c r="CQ1568" s="584" t="s">
        <v>5412</v>
      </c>
      <c r="CR1568" s="584" t="s">
        <v>5412</v>
      </c>
      <c r="CS1568" s="584" t="s">
        <v>5153</v>
      </c>
      <c r="CT1568" s="584" t="s">
        <v>5154</v>
      </c>
      <c r="CU1568" s="584" t="s">
        <v>2185</v>
      </c>
      <c r="CV1568" s="585" t="s">
        <v>5155</v>
      </c>
    </row>
    <row r="1569" spans="91:100" x14ac:dyDescent="0.25">
      <c r="CM1569" s="582"/>
      <c r="CN1569" s="584" t="s">
        <v>5413</v>
      </c>
      <c r="CO1569" s="584" t="s">
        <v>1912</v>
      </c>
      <c r="CP1569" s="584" t="s">
        <v>1888</v>
      </c>
      <c r="CQ1569" s="584" t="s">
        <v>5414</v>
      </c>
      <c r="CR1569" s="584" t="s">
        <v>5414</v>
      </c>
      <c r="CS1569" s="584" t="s">
        <v>1890</v>
      </c>
      <c r="CT1569" s="584" t="s">
        <v>5168</v>
      </c>
      <c r="CU1569" s="584" t="s">
        <v>1892</v>
      </c>
      <c r="CV1569" s="585" t="s">
        <v>1893</v>
      </c>
    </row>
    <row r="1570" spans="91:100" ht="25.5" x14ac:dyDescent="0.25">
      <c r="CM1570" s="582"/>
      <c r="CN1570" s="584" t="s">
        <v>5415</v>
      </c>
      <c r="CO1570" s="584" t="s">
        <v>1912</v>
      </c>
      <c r="CP1570" s="584" t="s">
        <v>1888</v>
      </c>
      <c r="CQ1570" s="584" t="s">
        <v>5416</v>
      </c>
      <c r="CR1570" s="584" t="s">
        <v>5417</v>
      </c>
      <c r="CS1570" s="584" t="s">
        <v>5153</v>
      </c>
      <c r="CT1570" s="584" t="s">
        <v>5154</v>
      </c>
      <c r="CU1570" s="584" t="s">
        <v>2185</v>
      </c>
      <c r="CV1570" s="585" t="s">
        <v>5155</v>
      </c>
    </row>
    <row r="1571" spans="91:100" ht="25.5" x14ac:dyDescent="0.25">
      <c r="CM1571" s="582"/>
      <c r="CN1571" s="584" t="s">
        <v>5418</v>
      </c>
      <c r="CO1571" s="584" t="s">
        <v>1912</v>
      </c>
      <c r="CP1571" s="584" t="s">
        <v>1888</v>
      </c>
      <c r="CQ1571" s="584" t="s">
        <v>5419</v>
      </c>
      <c r="CR1571" s="584" t="s">
        <v>5419</v>
      </c>
      <c r="CS1571" s="584" t="s">
        <v>5153</v>
      </c>
      <c r="CT1571" s="584" t="s">
        <v>5154</v>
      </c>
      <c r="CU1571" s="584" t="s">
        <v>2185</v>
      </c>
      <c r="CV1571" s="585" t="s">
        <v>5155</v>
      </c>
    </row>
    <row r="1572" spans="91:100" x14ac:dyDescent="0.25">
      <c r="CM1572" s="582"/>
      <c r="CN1572" s="584" t="s">
        <v>5420</v>
      </c>
      <c r="CO1572" s="584" t="s">
        <v>1912</v>
      </c>
      <c r="CP1572" s="584" t="s">
        <v>1888</v>
      </c>
      <c r="CQ1572" s="584" t="s">
        <v>5421</v>
      </c>
      <c r="CR1572" s="584" t="s">
        <v>5421</v>
      </c>
      <c r="CS1572" s="584" t="s">
        <v>1890</v>
      </c>
      <c r="CT1572" s="584" t="s">
        <v>5168</v>
      </c>
      <c r="CU1572" s="584" t="s">
        <v>1892</v>
      </c>
      <c r="CV1572" s="585" t="s">
        <v>1893</v>
      </c>
    </row>
    <row r="1573" spans="91:100" ht="25.5" x14ac:dyDescent="0.25">
      <c r="CM1573" s="582"/>
      <c r="CN1573" s="584" t="s">
        <v>5422</v>
      </c>
      <c r="CO1573" s="584" t="s">
        <v>1912</v>
      </c>
      <c r="CP1573" s="584" t="s">
        <v>1888</v>
      </c>
      <c r="CQ1573" s="584" t="s">
        <v>5423</v>
      </c>
      <c r="CR1573" s="584" t="s">
        <v>5423</v>
      </c>
      <c r="CS1573" s="584" t="s">
        <v>5153</v>
      </c>
      <c r="CT1573" s="584" t="s">
        <v>5154</v>
      </c>
      <c r="CU1573" s="584" t="s">
        <v>2185</v>
      </c>
      <c r="CV1573" s="585" t="s">
        <v>5155</v>
      </c>
    </row>
    <row r="1574" spans="91:100" ht="25.5" x14ac:dyDescent="0.25">
      <c r="CM1574" s="582"/>
      <c r="CN1574" s="584" t="s">
        <v>5424</v>
      </c>
      <c r="CO1574" s="584" t="s">
        <v>1912</v>
      </c>
      <c r="CP1574" s="584" t="s">
        <v>1888</v>
      </c>
      <c r="CQ1574" s="584" t="s">
        <v>5425</v>
      </c>
      <c r="CR1574" s="584" t="s">
        <v>5426</v>
      </c>
      <c r="CS1574" s="584" t="s">
        <v>5153</v>
      </c>
      <c r="CT1574" s="584" t="s">
        <v>5154</v>
      </c>
      <c r="CU1574" s="584" t="s">
        <v>2185</v>
      </c>
      <c r="CV1574" s="585" t="s">
        <v>5155</v>
      </c>
    </row>
    <row r="1575" spans="91:100" ht="25.5" x14ac:dyDescent="0.25">
      <c r="CM1575" s="582"/>
      <c r="CN1575" s="584" t="s">
        <v>5427</v>
      </c>
      <c r="CO1575" s="584" t="s">
        <v>1912</v>
      </c>
      <c r="CP1575" s="584" t="s">
        <v>1888</v>
      </c>
      <c r="CQ1575" s="584" t="s">
        <v>5428</v>
      </c>
      <c r="CR1575" s="584" t="s">
        <v>5428</v>
      </c>
      <c r="CS1575" s="584" t="s">
        <v>5153</v>
      </c>
      <c r="CT1575" s="584" t="s">
        <v>5154</v>
      </c>
      <c r="CU1575" s="584" t="s">
        <v>2185</v>
      </c>
      <c r="CV1575" s="585" t="s">
        <v>5155</v>
      </c>
    </row>
    <row r="1576" spans="91:100" ht="25.5" x14ac:dyDescent="0.25">
      <c r="CM1576" s="582"/>
      <c r="CN1576" s="584" t="s">
        <v>5429</v>
      </c>
      <c r="CO1576" s="584" t="s">
        <v>1912</v>
      </c>
      <c r="CP1576" s="584" t="s">
        <v>1888</v>
      </c>
      <c r="CQ1576" s="584" t="s">
        <v>5430</v>
      </c>
      <c r="CR1576" s="584" t="s">
        <v>5430</v>
      </c>
      <c r="CS1576" s="584" t="s">
        <v>5153</v>
      </c>
      <c r="CT1576" s="584" t="s">
        <v>5154</v>
      </c>
      <c r="CU1576" s="584" t="s">
        <v>2185</v>
      </c>
      <c r="CV1576" s="585" t="s">
        <v>5155</v>
      </c>
    </row>
    <row r="1577" spans="91:100" ht="25.5" x14ac:dyDescent="0.25">
      <c r="CM1577" s="582"/>
      <c r="CN1577" s="584" t="s">
        <v>5431</v>
      </c>
      <c r="CO1577" s="584" t="s">
        <v>1912</v>
      </c>
      <c r="CP1577" s="584" t="s">
        <v>1888</v>
      </c>
      <c r="CQ1577" s="584" t="s">
        <v>5432</v>
      </c>
      <c r="CR1577" s="584" t="s">
        <v>5432</v>
      </c>
      <c r="CS1577" s="584" t="s">
        <v>5153</v>
      </c>
      <c r="CT1577" s="584" t="s">
        <v>5154</v>
      </c>
      <c r="CU1577" s="584" t="s">
        <v>2185</v>
      </c>
      <c r="CV1577" s="585" t="s">
        <v>5155</v>
      </c>
    </row>
    <row r="1578" spans="91:100" ht="25.5" x14ac:dyDescent="0.25">
      <c r="CM1578" s="582"/>
      <c r="CN1578" s="584" t="s">
        <v>5433</v>
      </c>
      <c r="CO1578" s="584" t="s">
        <v>1912</v>
      </c>
      <c r="CP1578" s="584" t="s">
        <v>1888</v>
      </c>
      <c r="CQ1578" s="584" t="s">
        <v>5434</v>
      </c>
      <c r="CR1578" s="584" t="s">
        <v>5435</v>
      </c>
      <c r="CS1578" s="584" t="s">
        <v>5153</v>
      </c>
      <c r="CT1578" s="584" t="s">
        <v>5154</v>
      </c>
      <c r="CU1578" s="584" t="s">
        <v>2185</v>
      </c>
      <c r="CV1578" s="585" t="s">
        <v>5155</v>
      </c>
    </row>
    <row r="1579" spans="91:100" x14ac:dyDescent="0.25">
      <c r="CM1579" s="582"/>
      <c r="CN1579" s="584" t="s">
        <v>5436</v>
      </c>
      <c r="CO1579" s="584" t="s">
        <v>1912</v>
      </c>
      <c r="CP1579" s="584" t="s">
        <v>1888</v>
      </c>
      <c r="CQ1579" s="584" t="s">
        <v>5437</v>
      </c>
      <c r="CR1579" s="584" t="s">
        <v>5437</v>
      </c>
      <c r="CS1579" s="584" t="s">
        <v>1890</v>
      </c>
      <c r="CT1579" s="584" t="s">
        <v>5168</v>
      </c>
      <c r="CU1579" s="584" t="s">
        <v>1892</v>
      </c>
      <c r="CV1579" s="585" t="s">
        <v>1893</v>
      </c>
    </row>
    <row r="1580" spans="91:100" ht="25.5" x14ac:dyDescent="0.25">
      <c r="CM1580" s="582"/>
      <c r="CN1580" s="584" t="s">
        <v>5438</v>
      </c>
      <c r="CO1580" s="584" t="s">
        <v>1912</v>
      </c>
      <c r="CP1580" s="584" t="s">
        <v>1888</v>
      </c>
      <c r="CQ1580" s="584" t="s">
        <v>5439</v>
      </c>
      <c r="CR1580" s="584" t="s">
        <v>5439</v>
      </c>
      <c r="CS1580" s="584" t="s">
        <v>5153</v>
      </c>
      <c r="CT1580" s="584" t="s">
        <v>5154</v>
      </c>
      <c r="CU1580" s="584" t="s">
        <v>2185</v>
      </c>
      <c r="CV1580" s="585" t="s">
        <v>5155</v>
      </c>
    </row>
    <row r="1581" spans="91:100" x14ac:dyDescent="0.25">
      <c r="CM1581" s="582"/>
      <c r="CN1581" s="584" t="s">
        <v>5440</v>
      </c>
      <c r="CO1581" s="584" t="s">
        <v>1912</v>
      </c>
      <c r="CP1581" s="584" t="s">
        <v>1888</v>
      </c>
      <c r="CQ1581" s="584" t="s">
        <v>5441</v>
      </c>
      <c r="CR1581" s="584" t="s">
        <v>5441</v>
      </c>
      <c r="CS1581" s="584" t="s">
        <v>1890</v>
      </c>
      <c r="CT1581" s="584" t="s">
        <v>5168</v>
      </c>
      <c r="CU1581" s="584" t="s">
        <v>1892</v>
      </c>
      <c r="CV1581" s="585" t="s">
        <v>1893</v>
      </c>
    </row>
    <row r="1582" spans="91:100" ht="25.5" x14ac:dyDescent="0.25">
      <c r="CM1582" s="582"/>
      <c r="CN1582" s="584" t="s">
        <v>5442</v>
      </c>
      <c r="CO1582" s="584" t="s">
        <v>1912</v>
      </c>
      <c r="CP1582" s="584" t="s">
        <v>1888</v>
      </c>
      <c r="CQ1582" s="584" t="s">
        <v>5443</v>
      </c>
      <c r="CR1582" s="584" t="s">
        <v>5443</v>
      </c>
      <c r="CS1582" s="584" t="s">
        <v>5153</v>
      </c>
      <c r="CT1582" s="584" t="s">
        <v>5154</v>
      </c>
      <c r="CU1582" s="584" t="s">
        <v>2185</v>
      </c>
      <c r="CV1582" s="585" t="s">
        <v>5155</v>
      </c>
    </row>
    <row r="1583" spans="91:100" ht="25.5" x14ac:dyDescent="0.25">
      <c r="CM1583" s="582"/>
      <c r="CN1583" s="584" t="s">
        <v>5444</v>
      </c>
      <c r="CO1583" s="584" t="s">
        <v>1912</v>
      </c>
      <c r="CP1583" s="584" t="s">
        <v>1888</v>
      </c>
      <c r="CQ1583" s="584" t="s">
        <v>5445</v>
      </c>
      <c r="CR1583" s="584" t="s">
        <v>5445</v>
      </c>
      <c r="CS1583" s="584" t="s">
        <v>5153</v>
      </c>
      <c r="CT1583" s="584" t="s">
        <v>5154</v>
      </c>
      <c r="CU1583" s="584" t="s">
        <v>2185</v>
      </c>
      <c r="CV1583" s="585" t="s">
        <v>5155</v>
      </c>
    </row>
    <row r="1584" spans="91:100" ht="25.5" x14ac:dyDescent="0.25">
      <c r="CM1584" s="582"/>
      <c r="CN1584" s="584" t="s">
        <v>5446</v>
      </c>
      <c r="CO1584" s="584" t="s">
        <v>1912</v>
      </c>
      <c r="CP1584" s="584" t="s">
        <v>1888</v>
      </c>
      <c r="CQ1584" s="584" t="s">
        <v>5447</v>
      </c>
      <c r="CR1584" s="584" t="s">
        <v>5447</v>
      </c>
      <c r="CS1584" s="584" t="s">
        <v>5153</v>
      </c>
      <c r="CT1584" s="584" t="s">
        <v>5154</v>
      </c>
      <c r="CU1584" s="584" t="s">
        <v>2185</v>
      </c>
      <c r="CV1584" s="585" t="s">
        <v>5155</v>
      </c>
    </row>
    <row r="1585" spans="91:100" x14ac:dyDescent="0.25">
      <c r="CM1585" s="582"/>
      <c r="CN1585" s="584" t="s">
        <v>5448</v>
      </c>
      <c r="CO1585" s="584" t="s">
        <v>1912</v>
      </c>
      <c r="CP1585" s="584" t="s">
        <v>1888</v>
      </c>
      <c r="CQ1585" s="584" t="s">
        <v>5449</v>
      </c>
      <c r="CR1585" s="584" t="s">
        <v>5449</v>
      </c>
      <c r="CS1585" s="584" t="s">
        <v>1890</v>
      </c>
      <c r="CT1585" s="584" t="s">
        <v>5168</v>
      </c>
      <c r="CU1585" s="584" t="s">
        <v>1892</v>
      </c>
      <c r="CV1585" s="585" t="s">
        <v>1893</v>
      </c>
    </row>
    <row r="1586" spans="91:100" x14ac:dyDescent="0.25">
      <c r="CM1586" s="582"/>
      <c r="CN1586" s="584" t="s">
        <v>5450</v>
      </c>
      <c r="CO1586" s="584" t="s">
        <v>1912</v>
      </c>
      <c r="CP1586" s="584" t="s">
        <v>1888</v>
      </c>
      <c r="CQ1586" s="584" t="s">
        <v>5451</v>
      </c>
      <c r="CR1586" s="584" t="s">
        <v>5451</v>
      </c>
      <c r="CS1586" s="584" t="s">
        <v>1890</v>
      </c>
      <c r="CT1586" s="584" t="s">
        <v>5168</v>
      </c>
      <c r="CU1586" s="584" t="s">
        <v>1892</v>
      </c>
      <c r="CV1586" s="585" t="s">
        <v>1893</v>
      </c>
    </row>
    <row r="1587" spans="91:100" x14ac:dyDescent="0.25">
      <c r="CM1587" s="582"/>
      <c r="CN1587" s="584" t="s">
        <v>5452</v>
      </c>
      <c r="CO1587" s="584" t="s">
        <v>1912</v>
      </c>
      <c r="CP1587" s="584" t="s">
        <v>1888</v>
      </c>
      <c r="CQ1587" s="584" t="s">
        <v>5453</v>
      </c>
      <c r="CR1587" s="584" t="s">
        <v>5453</v>
      </c>
      <c r="CS1587" s="584" t="s">
        <v>1890</v>
      </c>
      <c r="CT1587" s="584" t="s">
        <v>5168</v>
      </c>
      <c r="CU1587" s="584" t="s">
        <v>1892</v>
      </c>
      <c r="CV1587" s="585" t="s">
        <v>1893</v>
      </c>
    </row>
    <row r="1588" spans="91:100" x14ac:dyDescent="0.25">
      <c r="CM1588" s="582"/>
      <c r="CN1588" s="584" t="s">
        <v>5454</v>
      </c>
      <c r="CO1588" s="584" t="s">
        <v>1912</v>
      </c>
      <c r="CP1588" s="584" t="s">
        <v>1888</v>
      </c>
      <c r="CQ1588" s="584" t="s">
        <v>5455</v>
      </c>
      <c r="CR1588" s="584" t="s">
        <v>5455</v>
      </c>
      <c r="CS1588" s="584" t="s">
        <v>1890</v>
      </c>
      <c r="CT1588" s="584" t="s">
        <v>5168</v>
      </c>
      <c r="CU1588" s="584" t="s">
        <v>1892</v>
      </c>
      <c r="CV1588" s="585" t="s">
        <v>1893</v>
      </c>
    </row>
    <row r="1589" spans="91:100" ht="25.5" x14ac:dyDescent="0.25">
      <c r="CM1589" s="582"/>
      <c r="CN1589" s="584" t="s">
        <v>5456</v>
      </c>
      <c r="CO1589" s="584" t="s">
        <v>1912</v>
      </c>
      <c r="CP1589" s="584" t="s">
        <v>1888</v>
      </c>
      <c r="CQ1589" s="584" t="s">
        <v>5457</v>
      </c>
      <c r="CR1589" s="584" t="s">
        <v>5457</v>
      </c>
      <c r="CS1589" s="584" t="s">
        <v>5153</v>
      </c>
      <c r="CT1589" s="584" t="s">
        <v>5154</v>
      </c>
      <c r="CU1589" s="584" t="s">
        <v>2185</v>
      </c>
      <c r="CV1589" s="585" t="s">
        <v>5155</v>
      </c>
    </row>
    <row r="1590" spans="91:100" x14ac:dyDescent="0.25">
      <c r="CM1590" s="582"/>
      <c r="CN1590" s="584" t="s">
        <v>5458</v>
      </c>
      <c r="CO1590" s="584" t="s">
        <v>1912</v>
      </c>
      <c r="CP1590" s="584" t="s">
        <v>1888</v>
      </c>
      <c r="CQ1590" s="584" t="s">
        <v>5459</v>
      </c>
      <c r="CR1590" s="584" t="s">
        <v>5460</v>
      </c>
      <c r="CS1590" s="584" t="s">
        <v>1890</v>
      </c>
      <c r="CT1590" s="584" t="s">
        <v>5168</v>
      </c>
      <c r="CU1590" s="584" t="s">
        <v>1892</v>
      </c>
      <c r="CV1590" s="585" t="s">
        <v>1893</v>
      </c>
    </row>
    <row r="1591" spans="91:100" ht="25.5" x14ac:dyDescent="0.25">
      <c r="CM1591" s="582"/>
      <c r="CN1591" s="584" t="s">
        <v>5461</v>
      </c>
      <c r="CO1591" s="584" t="s">
        <v>1912</v>
      </c>
      <c r="CP1591" s="584" t="s">
        <v>1888</v>
      </c>
      <c r="CQ1591" s="584" t="s">
        <v>5462</v>
      </c>
      <c r="CR1591" s="584" t="s">
        <v>5463</v>
      </c>
      <c r="CS1591" s="584" t="s">
        <v>5153</v>
      </c>
      <c r="CT1591" s="584" t="s">
        <v>5154</v>
      </c>
      <c r="CU1591" s="584" t="s">
        <v>2185</v>
      </c>
      <c r="CV1591" s="585" t="s">
        <v>5155</v>
      </c>
    </row>
    <row r="1592" spans="91:100" x14ac:dyDescent="0.25">
      <c r="CM1592" s="582"/>
      <c r="CN1592" s="584" t="s">
        <v>5464</v>
      </c>
      <c r="CO1592" s="584" t="s">
        <v>1912</v>
      </c>
      <c r="CP1592" s="584" t="s">
        <v>1888</v>
      </c>
      <c r="CQ1592" s="584" t="s">
        <v>5465</v>
      </c>
      <c r="CR1592" s="584" t="s">
        <v>5465</v>
      </c>
      <c r="CS1592" s="584" t="s">
        <v>1890</v>
      </c>
      <c r="CT1592" s="584" t="s">
        <v>5168</v>
      </c>
      <c r="CU1592" s="584" t="s">
        <v>1892</v>
      </c>
      <c r="CV1592" s="585" t="s">
        <v>1893</v>
      </c>
    </row>
    <row r="1593" spans="91:100" ht="25.5" x14ac:dyDescent="0.25">
      <c r="CM1593" s="582"/>
      <c r="CN1593" s="584" t="s">
        <v>5466</v>
      </c>
      <c r="CO1593" s="584" t="s">
        <v>1912</v>
      </c>
      <c r="CP1593" s="584" t="s">
        <v>1888</v>
      </c>
      <c r="CQ1593" s="584" t="s">
        <v>5467</v>
      </c>
      <c r="CR1593" s="584" t="s">
        <v>5467</v>
      </c>
      <c r="CS1593" s="584" t="s">
        <v>5153</v>
      </c>
      <c r="CT1593" s="584" t="s">
        <v>5154</v>
      </c>
      <c r="CU1593" s="584" t="s">
        <v>2185</v>
      </c>
      <c r="CV1593" s="585" t="s">
        <v>5155</v>
      </c>
    </row>
    <row r="1594" spans="91:100" ht="25.5" x14ac:dyDescent="0.25">
      <c r="CM1594" s="582"/>
      <c r="CN1594" s="584" t="s">
        <v>5468</v>
      </c>
      <c r="CO1594" s="584" t="s">
        <v>1912</v>
      </c>
      <c r="CP1594" s="584" t="s">
        <v>1888</v>
      </c>
      <c r="CQ1594" s="584" t="s">
        <v>5469</v>
      </c>
      <c r="CR1594" s="584" t="s">
        <v>5469</v>
      </c>
      <c r="CS1594" s="584" t="s">
        <v>5153</v>
      </c>
      <c r="CT1594" s="584" t="s">
        <v>5154</v>
      </c>
      <c r="CU1594" s="584" t="s">
        <v>2185</v>
      </c>
      <c r="CV1594" s="585" t="s">
        <v>5155</v>
      </c>
    </row>
    <row r="1595" spans="91:100" ht="25.5" x14ac:dyDescent="0.25">
      <c r="CM1595" s="582"/>
      <c r="CN1595" s="584" t="s">
        <v>5470</v>
      </c>
      <c r="CO1595" s="584" t="s">
        <v>1912</v>
      </c>
      <c r="CP1595" s="584" t="s">
        <v>1888</v>
      </c>
      <c r="CQ1595" s="584" t="s">
        <v>5471</v>
      </c>
      <c r="CR1595" s="584" t="s">
        <v>5471</v>
      </c>
      <c r="CS1595" s="584" t="s">
        <v>5153</v>
      </c>
      <c r="CT1595" s="584" t="s">
        <v>5154</v>
      </c>
      <c r="CU1595" s="584" t="s">
        <v>2185</v>
      </c>
      <c r="CV1595" s="585" t="s">
        <v>5155</v>
      </c>
    </row>
    <row r="1596" spans="91:100" x14ac:dyDescent="0.25">
      <c r="CM1596" s="582"/>
      <c r="CN1596" s="584" t="s">
        <v>5472</v>
      </c>
      <c r="CO1596" s="584" t="s">
        <v>1912</v>
      </c>
      <c r="CP1596" s="584" t="s">
        <v>1888</v>
      </c>
      <c r="CQ1596" s="584" t="s">
        <v>5473</v>
      </c>
      <c r="CR1596" s="584" t="s">
        <v>5473</v>
      </c>
      <c r="CS1596" s="584" t="s">
        <v>1978</v>
      </c>
      <c r="CT1596" s="584" t="s">
        <v>1979</v>
      </c>
      <c r="CU1596" s="584" t="s">
        <v>1892</v>
      </c>
      <c r="CV1596" s="585" t="s">
        <v>1980</v>
      </c>
    </row>
    <row r="1597" spans="91:100" ht="25.5" x14ac:dyDescent="0.25">
      <c r="CM1597" s="582"/>
      <c r="CN1597" s="584" t="s">
        <v>5474</v>
      </c>
      <c r="CO1597" s="584" t="s">
        <v>1912</v>
      </c>
      <c r="CP1597" s="584" t="s">
        <v>1888</v>
      </c>
      <c r="CQ1597" s="584" t="s">
        <v>5475</v>
      </c>
      <c r="CR1597" s="584" t="s">
        <v>5475</v>
      </c>
      <c r="CS1597" s="584" t="s">
        <v>5153</v>
      </c>
      <c r="CT1597" s="584" t="s">
        <v>5154</v>
      </c>
      <c r="CU1597" s="584" t="s">
        <v>2185</v>
      </c>
      <c r="CV1597" s="585" t="s">
        <v>5155</v>
      </c>
    </row>
    <row r="1598" spans="91:100" ht="25.5" x14ac:dyDescent="0.25">
      <c r="CM1598" s="582"/>
      <c r="CN1598" s="584" t="s">
        <v>5476</v>
      </c>
      <c r="CO1598" s="584" t="s">
        <v>1912</v>
      </c>
      <c r="CP1598" s="584" t="s">
        <v>1888</v>
      </c>
      <c r="CQ1598" s="584" t="s">
        <v>5477</v>
      </c>
      <c r="CR1598" s="584" t="s">
        <v>5477</v>
      </c>
      <c r="CS1598" s="584" t="s">
        <v>5153</v>
      </c>
      <c r="CT1598" s="584" t="s">
        <v>5154</v>
      </c>
      <c r="CU1598" s="584" t="s">
        <v>2185</v>
      </c>
      <c r="CV1598" s="585" t="s">
        <v>5155</v>
      </c>
    </row>
    <row r="1599" spans="91:100" ht="25.5" x14ac:dyDescent="0.25">
      <c r="CM1599" s="582"/>
      <c r="CN1599" s="584" t="s">
        <v>5478</v>
      </c>
      <c r="CO1599" s="584" t="s">
        <v>1912</v>
      </c>
      <c r="CP1599" s="584" t="s">
        <v>1888</v>
      </c>
      <c r="CQ1599" s="584" t="s">
        <v>5479</v>
      </c>
      <c r="CR1599" s="584" t="s">
        <v>5479</v>
      </c>
      <c r="CS1599" s="584" t="s">
        <v>5153</v>
      </c>
      <c r="CT1599" s="584" t="s">
        <v>5154</v>
      </c>
      <c r="CU1599" s="584" t="s">
        <v>2185</v>
      </c>
      <c r="CV1599" s="585" t="s">
        <v>5155</v>
      </c>
    </row>
    <row r="1600" spans="91:100" x14ac:dyDescent="0.25">
      <c r="CM1600" s="582"/>
      <c r="CN1600" s="584" t="s">
        <v>5480</v>
      </c>
      <c r="CO1600" s="584" t="s">
        <v>1912</v>
      </c>
      <c r="CP1600" s="584" t="s">
        <v>1888</v>
      </c>
      <c r="CQ1600" s="584" t="s">
        <v>5481</v>
      </c>
      <c r="CR1600" s="584" t="s">
        <v>5482</v>
      </c>
      <c r="CS1600" s="584" t="s">
        <v>1890</v>
      </c>
      <c r="CT1600" s="584" t="s">
        <v>5168</v>
      </c>
      <c r="CU1600" s="584" t="s">
        <v>1892</v>
      </c>
      <c r="CV1600" s="585" t="s">
        <v>1893</v>
      </c>
    </row>
    <row r="1601" spans="91:100" x14ac:dyDescent="0.25">
      <c r="CM1601" s="582"/>
      <c r="CN1601" s="584" t="s">
        <v>5483</v>
      </c>
      <c r="CO1601" s="584" t="s">
        <v>1912</v>
      </c>
      <c r="CP1601" s="584" t="s">
        <v>1888</v>
      </c>
      <c r="CQ1601" s="584" t="s">
        <v>5484</v>
      </c>
      <c r="CR1601" s="584" t="s">
        <v>5484</v>
      </c>
      <c r="CS1601" s="584" t="s">
        <v>1890</v>
      </c>
      <c r="CT1601" s="584" t="s">
        <v>5168</v>
      </c>
      <c r="CU1601" s="584" t="s">
        <v>1892</v>
      </c>
      <c r="CV1601" s="585" t="s">
        <v>1893</v>
      </c>
    </row>
    <row r="1602" spans="91:100" ht="25.5" x14ac:dyDescent="0.25">
      <c r="CM1602" s="582"/>
      <c r="CN1602" s="584" t="s">
        <v>5485</v>
      </c>
      <c r="CO1602" s="584" t="s">
        <v>1912</v>
      </c>
      <c r="CP1602" s="584" t="s">
        <v>1888</v>
      </c>
      <c r="CQ1602" s="584" t="s">
        <v>5486</v>
      </c>
      <c r="CR1602" s="584" t="s">
        <v>5486</v>
      </c>
      <c r="CS1602" s="584" t="s">
        <v>5153</v>
      </c>
      <c r="CT1602" s="584" t="s">
        <v>5154</v>
      </c>
      <c r="CU1602" s="584" t="s">
        <v>2185</v>
      </c>
      <c r="CV1602" s="585" t="s">
        <v>5155</v>
      </c>
    </row>
    <row r="1603" spans="91:100" ht="25.5" x14ac:dyDescent="0.25">
      <c r="CM1603" s="582"/>
      <c r="CN1603" s="584" t="s">
        <v>5487</v>
      </c>
      <c r="CO1603" s="584" t="s">
        <v>1912</v>
      </c>
      <c r="CP1603" s="584" t="s">
        <v>1888</v>
      </c>
      <c r="CQ1603" s="584" t="s">
        <v>5488</v>
      </c>
      <c r="CR1603" s="584" t="s">
        <v>5488</v>
      </c>
      <c r="CS1603" s="584" t="s">
        <v>5153</v>
      </c>
      <c r="CT1603" s="584" t="s">
        <v>5154</v>
      </c>
      <c r="CU1603" s="584" t="s">
        <v>2185</v>
      </c>
      <c r="CV1603" s="585" t="s">
        <v>5155</v>
      </c>
    </row>
    <row r="1604" spans="91:100" x14ac:dyDescent="0.25">
      <c r="CM1604" s="582"/>
      <c r="CN1604" s="584" t="s">
        <v>5489</v>
      </c>
      <c r="CO1604" s="584" t="s">
        <v>1912</v>
      </c>
      <c r="CP1604" s="584" t="s">
        <v>1888</v>
      </c>
      <c r="CQ1604" s="584" t="s">
        <v>5490</v>
      </c>
      <c r="CR1604" s="584" t="s">
        <v>5490</v>
      </c>
      <c r="CS1604" s="584" t="s">
        <v>1890</v>
      </c>
      <c r="CT1604" s="584" t="s">
        <v>5168</v>
      </c>
      <c r="CU1604" s="584" t="s">
        <v>1892</v>
      </c>
      <c r="CV1604" s="585" t="s">
        <v>1893</v>
      </c>
    </row>
    <row r="1605" spans="91:100" x14ac:dyDescent="0.25">
      <c r="CM1605" s="582"/>
      <c r="CN1605" s="584" t="s">
        <v>5491</v>
      </c>
      <c r="CO1605" s="584" t="s">
        <v>1912</v>
      </c>
      <c r="CP1605" s="584" t="s">
        <v>1888</v>
      </c>
      <c r="CQ1605" s="584" t="s">
        <v>5492</v>
      </c>
      <c r="CR1605" s="584" t="s">
        <v>5492</v>
      </c>
      <c r="CS1605" s="584" t="s">
        <v>1890</v>
      </c>
      <c r="CT1605" s="584" t="s">
        <v>5168</v>
      </c>
      <c r="CU1605" s="584" t="s">
        <v>1892</v>
      </c>
      <c r="CV1605" s="585" t="s">
        <v>1893</v>
      </c>
    </row>
    <row r="1606" spans="91:100" x14ac:dyDescent="0.25">
      <c r="CM1606" s="582"/>
      <c r="CN1606" s="584" t="s">
        <v>5493</v>
      </c>
      <c r="CO1606" s="584" t="s">
        <v>1912</v>
      </c>
      <c r="CP1606" s="584" t="s">
        <v>1888</v>
      </c>
      <c r="CQ1606" s="584" t="s">
        <v>5494</v>
      </c>
      <c r="CR1606" s="584" t="s">
        <v>5494</v>
      </c>
      <c r="CS1606" s="584" t="s">
        <v>1890</v>
      </c>
      <c r="CT1606" s="584" t="s">
        <v>5168</v>
      </c>
      <c r="CU1606" s="584" t="s">
        <v>1892</v>
      </c>
      <c r="CV1606" s="585" t="s">
        <v>1893</v>
      </c>
    </row>
    <row r="1607" spans="91:100" ht="25.5" x14ac:dyDescent="0.25">
      <c r="CM1607" s="582"/>
      <c r="CN1607" s="584" t="s">
        <v>5495</v>
      </c>
      <c r="CO1607" s="584" t="s">
        <v>1912</v>
      </c>
      <c r="CP1607" s="584" t="s">
        <v>1888</v>
      </c>
      <c r="CQ1607" s="584" t="s">
        <v>5496</v>
      </c>
      <c r="CR1607" s="584" t="s">
        <v>5497</v>
      </c>
      <c r="CS1607" s="584" t="s">
        <v>5153</v>
      </c>
      <c r="CT1607" s="584" t="s">
        <v>5154</v>
      </c>
      <c r="CU1607" s="584" t="s">
        <v>2185</v>
      </c>
      <c r="CV1607" s="585" t="s">
        <v>5155</v>
      </c>
    </row>
    <row r="1608" spans="91:100" x14ac:dyDescent="0.25">
      <c r="CM1608" s="582"/>
      <c r="CN1608" s="584" t="s">
        <v>5498</v>
      </c>
      <c r="CO1608" s="584" t="s">
        <v>1912</v>
      </c>
      <c r="CP1608" s="584" t="s">
        <v>1888</v>
      </c>
      <c r="CQ1608" s="584" t="s">
        <v>5499</v>
      </c>
      <c r="CR1608" s="584" t="s">
        <v>5500</v>
      </c>
      <c r="CS1608" s="584" t="s">
        <v>1890</v>
      </c>
      <c r="CT1608" s="584" t="s">
        <v>5168</v>
      </c>
      <c r="CU1608" s="584" t="s">
        <v>1892</v>
      </c>
      <c r="CV1608" s="585" t="s">
        <v>1893</v>
      </c>
    </row>
    <row r="1609" spans="91:100" ht="25.5" x14ac:dyDescent="0.25">
      <c r="CM1609" s="582"/>
      <c r="CN1609" s="584" t="s">
        <v>5501</v>
      </c>
      <c r="CO1609" s="584" t="s">
        <v>1912</v>
      </c>
      <c r="CP1609" s="584" t="s">
        <v>1888</v>
      </c>
      <c r="CQ1609" s="584" t="s">
        <v>5502</v>
      </c>
      <c r="CR1609" s="584" t="s">
        <v>5502</v>
      </c>
      <c r="CS1609" s="584" t="s">
        <v>5153</v>
      </c>
      <c r="CT1609" s="584" t="s">
        <v>5154</v>
      </c>
      <c r="CU1609" s="584" t="s">
        <v>2185</v>
      </c>
      <c r="CV1609" s="585" t="s">
        <v>5155</v>
      </c>
    </row>
    <row r="1610" spans="91:100" x14ac:dyDescent="0.25">
      <c r="CM1610" s="582"/>
      <c r="CN1610" s="584" t="s">
        <v>5503</v>
      </c>
      <c r="CO1610" s="584" t="s">
        <v>1912</v>
      </c>
      <c r="CP1610" s="584" t="s">
        <v>1888</v>
      </c>
      <c r="CQ1610" s="584" t="s">
        <v>5504</v>
      </c>
      <c r="CR1610" s="584" t="s">
        <v>5504</v>
      </c>
      <c r="CS1610" s="584" t="s">
        <v>1890</v>
      </c>
      <c r="CT1610" s="584" t="s">
        <v>5168</v>
      </c>
      <c r="CU1610" s="584" t="s">
        <v>1892</v>
      </c>
      <c r="CV1610" s="585" t="s">
        <v>1893</v>
      </c>
    </row>
    <row r="1611" spans="91:100" x14ac:dyDescent="0.25">
      <c r="CM1611" s="582"/>
      <c r="CN1611" s="584" t="s">
        <v>5505</v>
      </c>
      <c r="CO1611" s="584" t="s">
        <v>1912</v>
      </c>
      <c r="CP1611" s="584" t="s">
        <v>1888</v>
      </c>
      <c r="CQ1611" s="584" t="s">
        <v>5506</v>
      </c>
      <c r="CR1611" s="584" t="s">
        <v>5507</v>
      </c>
      <c r="CS1611" s="584" t="s">
        <v>1890</v>
      </c>
      <c r="CT1611" s="584" t="s">
        <v>5168</v>
      </c>
      <c r="CU1611" s="584" t="s">
        <v>1892</v>
      </c>
      <c r="CV1611" s="585" t="s">
        <v>1893</v>
      </c>
    </row>
    <row r="1612" spans="91:100" ht="25.5" x14ac:dyDescent="0.25">
      <c r="CM1612" s="582"/>
      <c r="CN1612" s="584" t="s">
        <v>5508</v>
      </c>
      <c r="CO1612" s="584" t="s">
        <v>1912</v>
      </c>
      <c r="CP1612" s="584" t="s">
        <v>1888</v>
      </c>
      <c r="CQ1612" s="584" t="s">
        <v>5509</v>
      </c>
      <c r="CR1612" s="584" t="s">
        <v>5510</v>
      </c>
      <c r="CS1612" s="584" t="s">
        <v>5153</v>
      </c>
      <c r="CT1612" s="584" t="s">
        <v>5154</v>
      </c>
      <c r="CU1612" s="584" t="s">
        <v>2185</v>
      </c>
      <c r="CV1612" s="585" t="s">
        <v>5155</v>
      </c>
    </row>
    <row r="1613" spans="91:100" ht="25.5" x14ac:dyDescent="0.25">
      <c r="CM1613" s="582"/>
      <c r="CN1613" s="584" t="s">
        <v>5511</v>
      </c>
      <c r="CO1613" s="584" t="s">
        <v>1912</v>
      </c>
      <c r="CP1613" s="584" t="s">
        <v>1888</v>
      </c>
      <c r="CQ1613" s="584" t="s">
        <v>5512</v>
      </c>
      <c r="CR1613" s="584" t="s">
        <v>5512</v>
      </c>
      <c r="CS1613" s="584" t="s">
        <v>5153</v>
      </c>
      <c r="CT1613" s="584" t="s">
        <v>5154</v>
      </c>
      <c r="CU1613" s="584" t="s">
        <v>2185</v>
      </c>
      <c r="CV1613" s="585" t="s">
        <v>5155</v>
      </c>
    </row>
    <row r="1614" spans="91:100" x14ac:dyDescent="0.25">
      <c r="CM1614" s="582"/>
      <c r="CN1614" s="584" t="s">
        <v>5513</v>
      </c>
      <c r="CO1614" s="584" t="s">
        <v>1912</v>
      </c>
      <c r="CP1614" s="584" t="s">
        <v>1888</v>
      </c>
      <c r="CQ1614" s="584" t="s">
        <v>5514</v>
      </c>
      <c r="CR1614" s="584" t="s">
        <v>5514</v>
      </c>
      <c r="CS1614" s="584" t="s">
        <v>1890</v>
      </c>
      <c r="CT1614" s="584" t="s">
        <v>5168</v>
      </c>
      <c r="CU1614" s="584" t="s">
        <v>1892</v>
      </c>
      <c r="CV1614" s="585" t="s">
        <v>1893</v>
      </c>
    </row>
    <row r="1615" spans="91:100" ht="25.5" x14ac:dyDescent="0.25">
      <c r="CM1615" s="582"/>
      <c r="CN1615" s="584" t="s">
        <v>5515</v>
      </c>
      <c r="CO1615" s="584" t="s">
        <v>1912</v>
      </c>
      <c r="CP1615" s="584" t="s">
        <v>1888</v>
      </c>
      <c r="CQ1615" s="584" t="s">
        <v>5516</v>
      </c>
      <c r="CR1615" s="584" t="s">
        <v>5516</v>
      </c>
      <c r="CS1615" s="584" t="s">
        <v>5153</v>
      </c>
      <c r="CT1615" s="584" t="s">
        <v>5154</v>
      </c>
      <c r="CU1615" s="584" t="s">
        <v>2185</v>
      </c>
      <c r="CV1615" s="585" t="s">
        <v>5155</v>
      </c>
    </row>
    <row r="1616" spans="91:100" x14ac:dyDescent="0.25">
      <c r="CM1616" s="582"/>
      <c r="CN1616" s="584" t="s">
        <v>5517</v>
      </c>
      <c r="CO1616" s="584" t="s">
        <v>1912</v>
      </c>
      <c r="CP1616" s="584" t="s">
        <v>1888</v>
      </c>
      <c r="CQ1616" s="584" t="s">
        <v>5518</v>
      </c>
      <c r="CR1616" s="584" t="s">
        <v>5519</v>
      </c>
      <c r="CS1616" s="584" t="s">
        <v>1890</v>
      </c>
      <c r="CT1616" s="584" t="s">
        <v>5168</v>
      </c>
      <c r="CU1616" s="584" t="s">
        <v>1892</v>
      </c>
      <c r="CV1616" s="585" t="s">
        <v>1893</v>
      </c>
    </row>
    <row r="1617" spans="91:100" x14ac:dyDescent="0.25">
      <c r="CM1617" s="582"/>
      <c r="CN1617" s="584" t="s">
        <v>5520</v>
      </c>
      <c r="CO1617" s="584" t="s">
        <v>1912</v>
      </c>
      <c r="CP1617" s="584" t="s">
        <v>1888</v>
      </c>
      <c r="CQ1617" s="584" t="s">
        <v>5521</v>
      </c>
      <c r="CR1617" s="584" t="s">
        <v>5521</v>
      </c>
      <c r="CS1617" s="584" t="s">
        <v>1890</v>
      </c>
      <c r="CT1617" s="584" t="s">
        <v>5168</v>
      </c>
      <c r="CU1617" s="584" t="s">
        <v>1892</v>
      </c>
      <c r="CV1617" s="585" t="s">
        <v>1893</v>
      </c>
    </row>
    <row r="1618" spans="91:100" x14ac:dyDescent="0.25">
      <c r="CM1618" s="582"/>
      <c r="CN1618" s="584" t="s">
        <v>5522</v>
      </c>
      <c r="CO1618" s="584" t="s">
        <v>1912</v>
      </c>
      <c r="CP1618" s="584" t="s">
        <v>1888</v>
      </c>
      <c r="CQ1618" s="584" t="s">
        <v>5523</v>
      </c>
      <c r="CR1618" s="584" t="s">
        <v>5524</v>
      </c>
      <c r="CS1618" s="584" t="s">
        <v>1890</v>
      </c>
      <c r="CT1618" s="584" t="s">
        <v>5168</v>
      </c>
      <c r="CU1618" s="584" t="s">
        <v>1892</v>
      </c>
      <c r="CV1618" s="585" t="s">
        <v>1893</v>
      </c>
    </row>
    <row r="1619" spans="91:100" x14ac:dyDescent="0.25">
      <c r="CM1619" s="582"/>
      <c r="CN1619" s="584" t="s">
        <v>5525</v>
      </c>
      <c r="CO1619" s="584" t="s">
        <v>1912</v>
      </c>
      <c r="CP1619" s="584" t="s">
        <v>1888</v>
      </c>
      <c r="CQ1619" s="584" t="s">
        <v>5526</v>
      </c>
      <c r="CR1619" s="584" t="s">
        <v>5527</v>
      </c>
      <c r="CS1619" s="584" t="s">
        <v>1890</v>
      </c>
      <c r="CT1619" s="584" t="s">
        <v>5168</v>
      </c>
      <c r="CU1619" s="584" t="s">
        <v>1892</v>
      </c>
      <c r="CV1619" s="585" t="s">
        <v>1893</v>
      </c>
    </row>
    <row r="1620" spans="91:100" x14ac:dyDescent="0.25">
      <c r="CM1620" s="582"/>
      <c r="CN1620" s="584" t="s">
        <v>5528</v>
      </c>
      <c r="CO1620" s="584" t="s">
        <v>1912</v>
      </c>
      <c r="CP1620" s="584" t="s">
        <v>1888</v>
      </c>
      <c r="CQ1620" s="584" t="s">
        <v>5529</v>
      </c>
      <c r="CR1620" s="584" t="s">
        <v>5529</v>
      </c>
      <c r="CS1620" s="584" t="s">
        <v>1890</v>
      </c>
      <c r="CT1620" s="584" t="s">
        <v>5168</v>
      </c>
      <c r="CU1620" s="584" t="s">
        <v>1892</v>
      </c>
      <c r="CV1620" s="585" t="s">
        <v>1893</v>
      </c>
    </row>
    <row r="1621" spans="91:100" x14ac:dyDescent="0.25">
      <c r="CM1621" s="582"/>
      <c r="CN1621" s="584" t="s">
        <v>5530</v>
      </c>
      <c r="CO1621" s="584" t="s">
        <v>1912</v>
      </c>
      <c r="CP1621" s="584" t="s">
        <v>1888</v>
      </c>
      <c r="CQ1621" s="584" t="s">
        <v>1701</v>
      </c>
      <c r="CR1621" s="584" t="s">
        <v>1701</v>
      </c>
      <c r="CS1621" s="584" t="s">
        <v>1890</v>
      </c>
      <c r="CT1621" s="584" t="s">
        <v>5168</v>
      </c>
      <c r="CU1621" s="584" t="s">
        <v>1892</v>
      </c>
      <c r="CV1621" s="585" t="s">
        <v>1893</v>
      </c>
    </row>
    <row r="1622" spans="91:100" x14ac:dyDescent="0.25">
      <c r="CM1622" s="582"/>
      <c r="CN1622" s="584" t="s">
        <v>5531</v>
      </c>
      <c r="CO1622" s="584" t="s">
        <v>1912</v>
      </c>
      <c r="CP1622" s="584" t="s">
        <v>1888</v>
      </c>
      <c r="CQ1622" s="584" t="s">
        <v>5532</v>
      </c>
      <c r="CR1622" s="584" t="s">
        <v>5533</v>
      </c>
      <c r="CS1622" s="584" t="s">
        <v>1890</v>
      </c>
      <c r="CT1622" s="584" t="s">
        <v>5168</v>
      </c>
      <c r="CU1622" s="584" t="s">
        <v>1892</v>
      </c>
      <c r="CV1622" s="585" t="s">
        <v>1893</v>
      </c>
    </row>
    <row r="1623" spans="91:100" ht="25.5" x14ac:dyDescent="0.25">
      <c r="CM1623" s="582"/>
      <c r="CN1623" s="584" t="s">
        <v>5534</v>
      </c>
      <c r="CO1623" s="584" t="s">
        <v>1912</v>
      </c>
      <c r="CP1623" s="584" t="s">
        <v>1888</v>
      </c>
      <c r="CQ1623" s="584" t="s">
        <v>5535</v>
      </c>
      <c r="CR1623" s="584" t="s">
        <v>5536</v>
      </c>
      <c r="CS1623" s="584" t="s">
        <v>5153</v>
      </c>
      <c r="CT1623" s="584" t="s">
        <v>5154</v>
      </c>
      <c r="CU1623" s="584" t="s">
        <v>2185</v>
      </c>
      <c r="CV1623" s="585" t="s">
        <v>5155</v>
      </c>
    </row>
    <row r="1624" spans="91:100" ht="25.5" x14ac:dyDescent="0.25">
      <c r="CM1624" s="582"/>
      <c r="CN1624" s="584" t="s">
        <v>5537</v>
      </c>
      <c r="CO1624" s="584" t="s">
        <v>1912</v>
      </c>
      <c r="CP1624" s="584" t="s">
        <v>1888</v>
      </c>
      <c r="CQ1624" s="584" t="s">
        <v>5538</v>
      </c>
      <c r="CR1624" s="584" t="s">
        <v>5539</v>
      </c>
      <c r="CS1624" s="584" t="s">
        <v>5153</v>
      </c>
      <c r="CT1624" s="584" t="s">
        <v>5154</v>
      </c>
      <c r="CU1624" s="584" t="s">
        <v>2185</v>
      </c>
      <c r="CV1624" s="585" t="s">
        <v>5155</v>
      </c>
    </row>
    <row r="1625" spans="91:100" ht="25.5" x14ac:dyDescent="0.25">
      <c r="CM1625" s="582"/>
      <c r="CN1625" s="584" t="s">
        <v>5540</v>
      </c>
      <c r="CO1625" s="584" t="s">
        <v>1912</v>
      </c>
      <c r="CP1625" s="584" t="s">
        <v>1888</v>
      </c>
      <c r="CQ1625" s="584" t="s">
        <v>5541</v>
      </c>
      <c r="CR1625" s="584" t="s">
        <v>5542</v>
      </c>
      <c r="CS1625" s="584" t="s">
        <v>5153</v>
      </c>
      <c r="CT1625" s="584" t="s">
        <v>5154</v>
      </c>
      <c r="CU1625" s="584" t="s">
        <v>2185</v>
      </c>
      <c r="CV1625" s="585" t="s">
        <v>5155</v>
      </c>
    </row>
    <row r="1626" spans="91:100" ht="25.5" x14ac:dyDescent="0.25">
      <c r="CM1626" s="582"/>
      <c r="CN1626" s="584" t="s">
        <v>5543</v>
      </c>
      <c r="CO1626" s="584" t="s">
        <v>1912</v>
      </c>
      <c r="CP1626" s="584" t="s">
        <v>1888</v>
      </c>
      <c r="CQ1626" s="584" t="s">
        <v>5544</v>
      </c>
      <c r="CR1626" s="584" t="s">
        <v>5545</v>
      </c>
      <c r="CS1626" s="584" t="s">
        <v>5153</v>
      </c>
      <c r="CT1626" s="584" t="s">
        <v>5154</v>
      </c>
      <c r="CU1626" s="584" t="s">
        <v>2185</v>
      </c>
      <c r="CV1626" s="585" t="s">
        <v>5155</v>
      </c>
    </row>
    <row r="1627" spans="91:100" ht="25.5" x14ac:dyDescent="0.25">
      <c r="CM1627" s="582"/>
      <c r="CN1627" s="584" t="s">
        <v>5546</v>
      </c>
      <c r="CO1627" s="584" t="s">
        <v>1912</v>
      </c>
      <c r="CP1627" s="584" t="s">
        <v>1888</v>
      </c>
      <c r="CQ1627" s="584" t="s">
        <v>5547</v>
      </c>
      <c r="CR1627" s="584" t="s">
        <v>5547</v>
      </c>
      <c r="CS1627" s="584" t="s">
        <v>5153</v>
      </c>
      <c r="CT1627" s="584" t="s">
        <v>5154</v>
      </c>
      <c r="CU1627" s="584" t="s">
        <v>2185</v>
      </c>
      <c r="CV1627" s="585" t="s">
        <v>5155</v>
      </c>
    </row>
    <row r="1628" spans="91:100" ht="25.5" x14ac:dyDescent="0.25">
      <c r="CM1628" s="582"/>
      <c r="CN1628" s="584" t="s">
        <v>5548</v>
      </c>
      <c r="CO1628" s="584" t="s">
        <v>1912</v>
      </c>
      <c r="CP1628" s="584" t="s">
        <v>1888</v>
      </c>
      <c r="CQ1628" s="584" t="s">
        <v>5549</v>
      </c>
      <c r="CR1628" s="584" t="s">
        <v>5550</v>
      </c>
      <c r="CS1628" s="584" t="s">
        <v>5153</v>
      </c>
      <c r="CT1628" s="584" t="s">
        <v>5154</v>
      </c>
      <c r="CU1628" s="584" t="s">
        <v>2185</v>
      </c>
      <c r="CV1628" s="585" t="s">
        <v>5155</v>
      </c>
    </row>
    <row r="1629" spans="91:100" ht="25.5" x14ac:dyDescent="0.25">
      <c r="CM1629" s="582"/>
      <c r="CN1629" s="584" t="s">
        <v>5551</v>
      </c>
      <c r="CO1629" s="584" t="s">
        <v>1912</v>
      </c>
      <c r="CP1629" s="584" t="s">
        <v>1888</v>
      </c>
      <c r="CQ1629" s="584" t="s">
        <v>5552</v>
      </c>
      <c r="CR1629" s="584" t="s">
        <v>5552</v>
      </c>
      <c r="CS1629" s="584" t="s">
        <v>5153</v>
      </c>
      <c r="CT1629" s="584" t="s">
        <v>5154</v>
      </c>
      <c r="CU1629" s="584" t="s">
        <v>2185</v>
      </c>
      <c r="CV1629" s="585" t="s">
        <v>5155</v>
      </c>
    </row>
    <row r="1630" spans="91:100" ht="25.5" x14ac:dyDescent="0.25">
      <c r="CM1630" s="582"/>
      <c r="CN1630" s="584" t="s">
        <v>5553</v>
      </c>
      <c r="CO1630" s="584" t="s">
        <v>1912</v>
      </c>
      <c r="CP1630" s="584" t="s">
        <v>1888</v>
      </c>
      <c r="CQ1630" s="584" t="s">
        <v>5554</v>
      </c>
      <c r="CR1630" s="584" t="s">
        <v>5554</v>
      </c>
      <c r="CS1630" s="584" t="s">
        <v>5153</v>
      </c>
      <c r="CT1630" s="584" t="s">
        <v>5154</v>
      </c>
      <c r="CU1630" s="584" t="s">
        <v>2185</v>
      </c>
      <c r="CV1630" s="585" t="s">
        <v>5155</v>
      </c>
    </row>
    <row r="1631" spans="91:100" ht="25.5" x14ac:dyDescent="0.25">
      <c r="CM1631" s="582"/>
      <c r="CN1631" s="584" t="s">
        <v>5555</v>
      </c>
      <c r="CO1631" s="584" t="s">
        <v>1912</v>
      </c>
      <c r="CP1631" s="584" t="s">
        <v>1888</v>
      </c>
      <c r="CQ1631" s="584" t="s">
        <v>5556</v>
      </c>
      <c r="CR1631" s="584" t="s">
        <v>5556</v>
      </c>
      <c r="CS1631" s="584" t="s">
        <v>5153</v>
      </c>
      <c r="CT1631" s="584" t="s">
        <v>5154</v>
      </c>
      <c r="CU1631" s="584" t="s">
        <v>2185</v>
      </c>
      <c r="CV1631" s="585" t="s">
        <v>5155</v>
      </c>
    </row>
    <row r="1632" spans="91:100" ht="25.5" x14ac:dyDescent="0.25">
      <c r="CM1632" s="582"/>
      <c r="CN1632" s="584" t="s">
        <v>5557</v>
      </c>
      <c r="CO1632" s="584" t="s">
        <v>1912</v>
      </c>
      <c r="CP1632" s="584" t="s">
        <v>1888</v>
      </c>
      <c r="CQ1632" s="584" t="s">
        <v>5558</v>
      </c>
      <c r="CR1632" s="584" t="s">
        <v>5558</v>
      </c>
      <c r="CS1632" s="584" t="s">
        <v>5153</v>
      </c>
      <c r="CT1632" s="584" t="s">
        <v>5154</v>
      </c>
      <c r="CU1632" s="584" t="s">
        <v>2185</v>
      </c>
      <c r="CV1632" s="585" t="s">
        <v>5155</v>
      </c>
    </row>
    <row r="1633" spans="91:100" x14ac:dyDescent="0.25">
      <c r="CM1633" s="582"/>
      <c r="CN1633" s="584" t="s">
        <v>5559</v>
      </c>
      <c r="CO1633" s="584" t="s">
        <v>1912</v>
      </c>
      <c r="CP1633" s="584" t="s">
        <v>1888</v>
      </c>
      <c r="CQ1633" s="584" t="s">
        <v>5560</v>
      </c>
      <c r="CR1633" s="584" t="s">
        <v>5560</v>
      </c>
      <c r="CS1633" s="584" t="s">
        <v>1890</v>
      </c>
      <c r="CT1633" s="584" t="s">
        <v>5168</v>
      </c>
      <c r="CU1633" s="584" t="s">
        <v>1892</v>
      </c>
      <c r="CV1633" s="585" t="s">
        <v>1893</v>
      </c>
    </row>
    <row r="1634" spans="91:100" ht="25.5" x14ac:dyDescent="0.25">
      <c r="CM1634" s="582"/>
      <c r="CN1634" s="584" t="s">
        <v>5561</v>
      </c>
      <c r="CO1634" s="584" t="s">
        <v>1912</v>
      </c>
      <c r="CP1634" s="584" t="s">
        <v>1888</v>
      </c>
      <c r="CQ1634" s="584" t="s">
        <v>5562</v>
      </c>
      <c r="CR1634" s="584" t="s">
        <v>5562</v>
      </c>
      <c r="CS1634" s="584" t="s">
        <v>5153</v>
      </c>
      <c r="CT1634" s="584" t="s">
        <v>5154</v>
      </c>
      <c r="CU1634" s="584" t="s">
        <v>2185</v>
      </c>
      <c r="CV1634" s="585" t="s">
        <v>5155</v>
      </c>
    </row>
    <row r="1635" spans="91:100" ht="25.5" x14ac:dyDescent="0.25">
      <c r="CM1635" s="582"/>
      <c r="CN1635" s="584" t="s">
        <v>5563</v>
      </c>
      <c r="CO1635" s="584" t="s">
        <v>1912</v>
      </c>
      <c r="CP1635" s="584" t="s">
        <v>1888</v>
      </c>
      <c r="CQ1635" s="584" t="s">
        <v>5564</v>
      </c>
      <c r="CR1635" s="584" t="s">
        <v>5565</v>
      </c>
      <c r="CS1635" s="584" t="s">
        <v>5153</v>
      </c>
      <c r="CT1635" s="584" t="s">
        <v>5154</v>
      </c>
      <c r="CU1635" s="584" t="s">
        <v>2185</v>
      </c>
      <c r="CV1635" s="585" t="s">
        <v>5155</v>
      </c>
    </row>
    <row r="1636" spans="91:100" ht="25.5" x14ac:dyDescent="0.25">
      <c r="CM1636" s="582"/>
      <c r="CN1636" s="584" t="s">
        <v>5566</v>
      </c>
      <c r="CO1636" s="584" t="s">
        <v>1912</v>
      </c>
      <c r="CP1636" s="584" t="s">
        <v>1888</v>
      </c>
      <c r="CQ1636" s="584" t="s">
        <v>5567</v>
      </c>
      <c r="CR1636" s="584" t="s">
        <v>5567</v>
      </c>
      <c r="CS1636" s="584" t="s">
        <v>5153</v>
      </c>
      <c r="CT1636" s="584" t="s">
        <v>5154</v>
      </c>
      <c r="CU1636" s="584" t="s">
        <v>2185</v>
      </c>
      <c r="CV1636" s="585" t="s">
        <v>5155</v>
      </c>
    </row>
    <row r="1637" spans="91:100" ht="25.5" x14ac:dyDescent="0.25">
      <c r="CM1637" s="582"/>
      <c r="CN1637" s="584" t="s">
        <v>5568</v>
      </c>
      <c r="CO1637" s="584" t="s">
        <v>1912</v>
      </c>
      <c r="CP1637" s="584" t="s">
        <v>1888</v>
      </c>
      <c r="CQ1637" s="584" t="s">
        <v>5569</v>
      </c>
      <c r="CR1637" s="584" t="s">
        <v>5569</v>
      </c>
      <c r="CS1637" s="584" t="s">
        <v>5153</v>
      </c>
      <c r="CT1637" s="584" t="s">
        <v>5154</v>
      </c>
      <c r="CU1637" s="584" t="s">
        <v>2185</v>
      </c>
      <c r="CV1637" s="585" t="s">
        <v>5155</v>
      </c>
    </row>
    <row r="1638" spans="91:100" x14ac:dyDescent="0.25">
      <c r="CM1638" s="582"/>
      <c r="CN1638" s="584" t="s">
        <v>5570</v>
      </c>
      <c r="CO1638" s="584" t="s">
        <v>1912</v>
      </c>
      <c r="CP1638" s="584" t="s">
        <v>1888</v>
      </c>
      <c r="CQ1638" s="584" t="s">
        <v>5571</v>
      </c>
      <c r="CR1638" s="584" t="s">
        <v>5571</v>
      </c>
      <c r="CS1638" s="584" t="s">
        <v>1890</v>
      </c>
      <c r="CT1638" s="584" t="s">
        <v>5168</v>
      </c>
      <c r="CU1638" s="584" t="s">
        <v>1892</v>
      </c>
      <c r="CV1638" s="585" t="s">
        <v>1893</v>
      </c>
    </row>
    <row r="1639" spans="91:100" x14ac:dyDescent="0.25">
      <c r="CM1639" s="582"/>
      <c r="CN1639" s="584" t="s">
        <v>5572</v>
      </c>
      <c r="CO1639" s="584" t="s">
        <v>1912</v>
      </c>
      <c r="CP1639" s="584" t="s">
        <v>1888</v>
      </c>
      <c r="CQ1639" s="584" t="s">
        <v>5573</v>
      </c>
      <c r="CR1639" s="584" t="s">
        <v>5573</v>
      </c>
      <c r="CS1639" s="584" t="s">
        <v>1890</v>
      </c>
      <c r="CT1639" s="584" t="s">
        <v>5168</v>
      </c>
      <c r="CU1639" s="584" t="s">
        <v>1892</v>
      </c>
      <c r="CV1639" s="585" t="s">
        <v>1893</v>
      </c>
    </row>
    <row r="1640" spans="91:100" ht="25.5" x14ac:dyDescent="0.25">
      <c r="CM1640" s="582"/>
      <c r="CN1640" s="584" t="s">
        <v>5574</v>
      </c>
      <c r="CO1640" s="584" t="s">
        <v>1912</v>
      </c>
      <c r="CP1640" s="584" t="s">
        <v>1888</v>
      </c>
      <c r="CQ1640" s="584" t="s">
        <v>5575</v>
      </c>
      <c r="CR1640" s="584" t="s">
        <v>5576</v>
      </c>
      <c r="CS1640" s="584" t="s">
        <v>5153</v>
      </c>
      <c r="CT1640" s="584" t="s">
        <v>5154</v>
      </c>
      <c r="CU1640" s="584" t="s">
        <v>2185</v>
      </c>
      <c r="CV1640" s="585" t="s">
        <v>5155</v>
      </c>
    </row>
    <row r="1641" spans="91:100" x14ac:dyDescent="0.25">
      <c r="CM1641" s="582"/>
      <c r="CN1641" s="584" t="s">
        <v>5577</v>
      </c>
      <c r="CO1641" s="584" t="s">
        <v>1912</v>
      </c>
      <c r="CP1641" s="584" t="s">
        <v>1888</v>
      </c>
      <c r="CQ1641" s="584" t="s">
        <v>5578</v>
      </c>
      <c r="CR1641" s="584" t="s">
        <v>5578</v>
      </c>
      <c r="CS1641" s="584" t="s">
        <v>1978</v>
      </c>
      <c r="CT1641" s="584" t="s">
        <v>1979</v>
      </c>
      <c r="CU1641" s="584" t="s">
        <v>1892</v>
      </c>
      <c r="CV1641" s="585" t="s">
        <v>1980</v>
      </c>
    </row>
    <row r="1642" spans="91:100" x14ac:dyDescent="0.25">
      <c r="CM1642" s="582"/>
      <c r="CN1642" s="584" t="s">
        <v>5579</v>
      </c>
      <c r="CO1642" s="584" t="s">
        <v>1912</v>
      </c>
      <c r="CP1642" s="584" t="s">
        <v>1888</v>
      </c>
      <c r="CQ1642" s="584" t="s">
        <v>5580</v>
      </c>
      <c r="CR1642" s="584" t="s">
        <v>5580</v>
      </c>
      <c r="CS1642" s="584" t="s">
        <v>1890</v>
      </c>
      <c r="CT1642" s="584" t="s">
        <v>5168</v>
      </c>
      <c r="CU1642" s="584" t="s">
        <v>1892</v>
      </c>
      <c r="CV1642" s="585" t="s">
        <v>1893</v>
      </c>
    </row>
    <row r="1643" spans="91:100" x14ac:dyDescent="0.25">
      <c r="CM1643" s="582"/>
      <c r="CN1643" s="584" t="s">
        <v>5581</v>
      </c>
      <c r="CO1643" s="584" t="s">
        <v>1912</v>
      </c>
      <c r="CP1643" s="584" t="s">
        <v>1888</v>
      </c>
      <c r="CQ1643" s="584" t="s">
        <v>5582</v>
      </c>
      <c r="CR1643" s="584" t="s">
        <v>5582</v>
      </c>
      <c r="CS1643" s="584" t="s">
        <v>1890</v>
      </c>
      <c r="CT1643" s="584" t="s">
        <v>5168</v>
      </c>
      <c r="CU1643" s="584" t="s">
        <v>1892</v>
      </c>
      <c r="CV1643" s="585" t="s">
        <v>1893</v>
      </c>
    </row>
    <row r="1644" spans="91:100" ht="25.5" x14ac:dyDescent="0.25">
      <c r="CM1644" s="582"/>
      <c r="CN1644" s="584" t="s">
        <v>5583</v>
      </c>
      <c r="CO1644" s="584" t="s">
        <v>1912</v>
      </c>
      <c r="CP1644" s="584" t="s">
        <v>1888</v>
      </c>
      <c r="CQ1644" s="584" t="s">
        <v>5584</v>
      </c>
      <c r="CR1644" s="584" t="s">
        <v>5585</v>
      </c>
      <c r="CS1644" s="584" t="s">
        <v>5153</v>
      </c>
      <c r="CT1644" s="584" t="s">
        <v>5154</v>
      </c>
      <c r="CU1644" s="584" t="s">
        <v>2185</v>
      </c>
      <c r="CV1644" s="585" t="s">
        <v>5155</v>
      </c>
    </row>
    <row r="1645" spans="91:100" ht="25.5" x14ac:dyDescent="0.25">
      <c r="CM1645" s="582"/>
      <c r="CN1645" s="584" t="s">
        <v>5586</v>
      </c>
      <c r="CO1645" s="584" t="s">
        <v>1912</v>
      </c>
      <c r="CP1645" s="584" t="s">
        <v>1888</v>
      </c>
      <c r="CQ1645" s="584" t="s">
        <v>5587</v>
      </c>
      <c r="CR1645" s="584" t="s">
        <v>5587</v>
      </c>
      <c r="CS1645" s="584" t="s">
        <v>5153</v>
      </c>
      <c r="CT1645" s="584" t="s">
        <v>5154</v>
      </c>
      <c r="CU1645" s="584" t="s">
        <v>2185</v>
      </c>
      <c r="CV1645" s="585" t="s">
        <v>5155</v>
      </c>
    </row>
    <row r="1646" spans="91:100" ht="25.5" x14ac:dyDescent="0.25">
      <c r="CM1646" s="582"/>
      <c r="CN1646" s="584" t="s">
        <v>5588</v>
      </c>
      <c r="CO1646" s="584" t="s">
        <v>1912</v>
      </c>
      <c r="CP1646" s="584" t="s">
        <v>1888</v>
      </c>
      <c r="CQ1646" s="584" t="s">
        <v>5589</v>
      </c>
      <c r="CR1646" s="584" t="s">
        <v>5589</v>
      </c>
      <c r="CS1646" s="584" t="s">
        <v>5153</v>
      </c>
      <c r="CT1646" s="584" t="s">
        <v>5154</v>
      </c>
      <c r="CU1646" s="584" t="s">
        <v>2185</v>
      </c>
      <c r="CV1646" s="585" t="s">
        <v>5155</v>
      </c>
    </row>
    <row r="1647" spans="91:100" x14ac:dyDescent="0.25">
      <c r="CM1647" s="582"/>
      <c r="CN1647" s="584" t="s">
        <v>5590</v>
      </c>
      <c r="CO1647" s="584" t="s">
        <v>1912</v>
      </c>
      <c r="CP1647" s="584" t="s">
        <v>1888</v>
      </c>
      <c r="CQ1647" s="584" t="s">
        <v>5591</v>
      </c>
      <c r="CR1647" s="584" t="s">
        <v>5591</v>
      </c>
      <c r="CS1647" s="584" t="s">
        <v>1890</v>
      </c>
      <c r="CT1647" s="584" t="s">
        <v>5168</v>
      </c>
      <c r="CU1647" s="584" t="s">
        <v>1892</v>
      </c>
      <c r="CV1647" s="585" t="s">
        <v>1893</v>
      </c>
    </row>
    <row r="1648" spans="91:100" ht="25.5" x14ac:dyDescent="0.25">
      <c r="CM1648" s="582"/>
      <c r="CN1648" s="584" t="s">
        <v>5592</v>
      </c>
      <c r="CO1648" s="584" t="s">
        <v>1912</v>
      </c>
      <c r="CP1648" s="584" t="s">
        <v>1888</v>
      </c>
      <c r="CQ1648" s="584" t="s">
        <v>5593</v>
      </c>
      <c r="CR1648" s="584" t="s">
        <v>5593</v>
      </c>
      <c r="CS1648" s="584" t="s">
        <v>5153</v>
      </c>
      <c r="CT1648" s="584" t="s">
        <v>5154</v>
      </c>
      <c r="CU1648" s="584" t="s">
        <v>2185</v>
      </c>
      <c r="CV1648" s="585" t="s">
        <v>5155</v>
      </c>
    </row>
    <row r="1649" spans="91:100" x14ac:dyDescent="0.25">
      <c r="CM1649" s="582"/>
      <c r="CN1649" s="584" t="s">
        <v>5594</v>
      </c>
      <c r="CO1649" s="584" t="s">
        <v>1912</v>
      </c>
      <c r="CP1649" s="584" t="s">
        <v>1888</v>
      </c>
      <c r="CQ1649" s="584" t="s">
        <v>5595</v>
      </c>
      <c r="CR1649" s="584" t="s">
        <v>5595</v>
      </c>
      <c r="CS1649" s="584" t="s">
        <v>1890</v>
      </c>
      <c r="CT1649" s="584" t="s">
        <v>5168</v>
      </c>
      <c r="CU1649" s="584" t="s">
        <v>1892</v>
      </c>
      <c r="CV1649" s="585" t="s">
        <v>1893</v>
      </c>
    </row>
    <row r="1650" spans="91:100" ht="25.5" x14ac:dyDescent="0.25">
      <c r="CM1650" s="582"/>
      <c r="CN1650" s="584" t="s">
        <v>5596</v>
      </c>
      <c r="CO1650" s="584" t="s">
        <v>1912</v>
      </c>
      <c r="CP1650" s="584" t="s">
        <v>1888</v>
      </c>
      <c r="CQ1650" s="584" t="s">
        <v>5597</v>
      </c>
      <c r="CR1650" s="584" t="s">
        <v>5597</v>
      </c>
      <c r="CS1650" s="584" t="s">
        <v>5153</v>
      </c>
      <c r="CT1650" s="584" t="s">
        <v>5154</v>
      </c>
      <c r="CU1650" s="584" t="s">
        <v>2185</v>
      </c>
      <c r="CV1650" s="585" t="s">
        <v>5155</v>
      </c>
    </row>
    <row r="1651" spans="91:100" ht="25.5" x14ac:dyDescent="0.25">
      <c r="CM1651" s="582"/>
      <c r="CN1651" s="584" t="s">
        <v>5598</v>
      </c>
      <c r="CO1651" s="584" t="s">
        <v>1912</v>
      </c>
      <c r="CP1651" s="584" t="s">
        <v>1888</v>
      </c>
      <c r="CQ1651" s="584" t="s">
        <v>5599</v>
      </c>
      <c r="CR1651" s="584" t="s">
        <v>5600</v>
      </c>
      <c r="CS1651" s="584" t="s">
        <v>5153</v>
      </c>
      <c r="CT1651" s="584" t="s">
        <v>5154</v>
      </c>
      <c r="CU1651" s="584" t="s">
        <v>2185</v>
      </c>
      <c r="CV1651" s="585" t="s">
        <v>5155</v>
      </c>
    </row>
    <row r="1652" spans="91:100" ht="25.5" x14ac:dyDescent="0.25">
      <c r="CM1652" s="582"/>
      <c r="CN1652" s="584" t="s">
        <v>5601</v>
      </c>
      <c r="CO1652" s="584" t="s">
        <v>1912</v>
      </c>
      <c r="CP1652" s="584" t="s">
        <v>1888</v>
      </c>
      <c r="CQ1652" s="584" t="s">
        <v>5602</v>
      </c>
      <c r="CR1652" s="584" t="s">
        <v>5603</v>
      </c>
      <c r="CS1652" s="584" t="s">
        <v>5153</v>
      </c>
      <c r="CT1652" s="584" t="s">
        <v>5154</v>
      </c>
      <c r="CU1652" s="584" t="s">
        <v>2185</v>
      </c>
      <c r="CV1652" s="585" t="s">
        <v>5155</v>
      </c>
    </row>
    <row r="1653" spans="91:100" ht="25.5" x14ac:dyDescent="0.25">
      <c r="CM1653" s="582"/>
      <c r="CN1653" s="584" t="s">
        <v>5604</v>
      </c>
      <c r="CO1653" s="584" t="s">
        <v>1912</v>
      </c>
      <c r="CP1653" s="584" t="s">
        <v>1888</v>
      </c>
      <c r="CQ1653" s="584" t="s">
        <v>5605</v>
      </c>
      <c r="CR1653" s="584" t="s">
        <v>5605</v>
      </c>
      <c r="CS1653" s="584" t="s">
        <v>5153</v>
      </c>
      <c r="CT1653" s="584" t="s">
        <v>5154</v>
      </c>
      <c r="CU1653" s="584" t="s">
        <v>2185</v>
      </c>
      <c r="CV1653" s="585" t="s">
        <v>5155</v>
      </c>
    </row>
    <row r="1654" spans="91:100" x14ac:dyDescent="0.25">
      <c r="CM1654" s="582"/>
      <c r="CN1654" s="584" t="s">
        <v>5606</v>
      </c>
      <c r="CO1654" s="584" t="s">
        <v>1912</v>
      </c>
      <c r="CP1654" s="584" t="s">
        <v>1888</v>
      </c>
      <c r="CQ1654" s="584" t="s">
        <v>5607</v>
      </c>
      <c r="CR1654" s="584" t="s">
        <v>5607</v>
      </c>
      <c r="CS1654" s="584" t="s">
        <v>1890</v>
      </c>
      <c r="CT1654" s="584" t="s">
        <v>5168</v>
      </c>
      <c r="CU1654" s="584" t="s">
        <v>1892</v>
      </c>
      <c r="CV1654" s="585" t="s">
        <v>1893</v>
      </c>
    </row>
    <row r="1655" spans="91:100" ht="25.5" x14ac:dyDescent="0.25">
      <c r="CM1655" s="582"/>
      <c r="CN1655" s="584" t="s">
        <v>5608</v>
      </c>
      <c r="CO1655" s="584" t="s">
        <v>1912</v>
      </c>
      <c r="CP1655" s="584" t="s">
        <v>1888</v>
      </c>
      <c r="CQ1655" s="584" t="s">
        <v>5609</v>
      </c>
      <c r="CR1655" s="584" t="s">
        <v>5610</v>
      </c>
      <c r="CS1655" s="584" t="s">
        <v>5153</v>
      </c>
      <c r="CT1655" s="584" t="s">
        <v>5154</v>
      </c>
      <c r="CU1655" s="584" t="s">
        <v>2185</v>
      </c>
      <c r="CV1655" s="585" t="s">
        <v>5155</v>
      </c>
    </row>
    <row r="1656" spans="91:100" x14ac:dyDescent="0.25">
      <c r="CM1656" s="582"/>
      <c r="CN1656" s="584" t="s">
        <v>5611</v>
      </c>
      <c r="CO1656" s="584" t="s">
        <v>1912</v>
      </c>
      <c r="CP1656" s="584" t="s">
        <v>1888</v>
      </c>
      <c r="CQ1656" s="584" t="s">
        <v>5612</v>
      </c>
      <c r="CR1656" s="584" t="s">
        <v>5612</v>
      </c>
      <c r="CS1656" s="584" t="s">
        <v>1890</v>
      </c>
      <c r="CT1656" s="584" t="s">
        <v>5168</v>
      </c>
      <c r="CU1656" s="584" t="s">
        <v>1892</v>
      </c>
      <c r="CV1656" s="585" t="s">
        <v>1893</v>
      </c>
    </row>
    <row r="1657" spans="91:100" ht="25.5" x14ac:dyDescent="0.25">
      <c r="CM1657" s="582"/>
      <c r="CN1657" s="584" t="s">
        <v>5613</v>
      </c>
      <c r="CO1657" s="584" t="s">
        <v>1912</v>
      </c>
      <c r="CP1657" s="584" t="s">
        <v>1888</v>
      </c>
      <c r="CQ1657" s="584" t="s">
        <v>5614</v>
      </c>
      <c r="CR1657" s="584" t="s">
        <v>5614</v>
      </c>
      <c r="CS1657" s="584" t="s">
        <v>5153</v>
      </c>
      <c r="CT1657" s="584" t="s">
        <v>5154</v>
      </c>
      <c r="CU1657" s="584" t="s">
        <v>2185</v>
      </c>
      <c r="CV1657" s="585" t="s">
        <v>5155</v>
      </c>
    </row>
    <row r="1658" spans="91:100" ht="25.5" x14ac:dyDescent="0.25">
      <c r="CM1658" s="582"/>
      <c r="CN1658" s="584" t="s">
        <v>5615</v>
      </c>
      <c r="CO1658" s="584" t="s">
        <v>1912</v>
      </c>
      <c r="CP1658" s="584" t="s">
        <v>1888</v>
      </c>
      <c r="CQ1658" s="584" t="s">
        <v>5616</v>
      </c>
      <c r="CR1658" s="584" t="s">
        <v>5617</v>
      </c>
      <c r="CS1658" s="584" t="s">
        <v>5153</v>
      </c>
      <c r="CT1658" s="584" t="s">
        <v>5154</v>
      </c>
      <c r="CU1658" s="584" t="s">
        <v>2185</v>
      </c>
      <c r="CV1658" s="585" t="s">
        <v>5155</v>
      </c>
    </row>
    <row r="1659" spans="91:100" ht="25.5" x14ac:dyDescent="0.25">
      <c r="CM1659" s="582"/>
      <c r="CN1659" s="584" t="s">
        <v>5618</v>
      </c>
      <c r="CO1659" s="584" t="s">
        <v>1912</v>
      </c>
      <c r="CP1659" s="584" t="s">
        <v>1888</v>
      </c>
      <c r="CQ1659" s="584" t="s">
        <v>5619</v>
      </c>
      <c r="CR1659" s="584" t="s">
        <v>5620</v>
      </c>
      <c r="CS1659" s="584" t="s">
        <v>5153</v>
      </c>
      <c r="CT1659" s="584" t="s">
        <v>5154</v>
      </c>
      <c r="CU1659" s="584" t="s">
        <v>2185</v>
      </c>
      <c r="CV1659" s="585" t="s">
        <v>5155</v>
      </c>
    </row>
    <row r="1660" spans="91:100" ht="25.5" x14ac:dyDescent="0.25">
      <c r="CM1660" s="582"/>
      <c r="CN1660" s="584" t="s">
        <v>5621</v>
      </c>
      <c r="CO1660" s="584" t="s">
        <v>1912</v>
      </c>
      <c r="CP1660" s="584" t="s">
        <v>1888</v>
      </c>
      <c r="CQ1660" s="584" t="s">
        <v>5622</v>
      </c>
      <c r="CR1660" s="584" t="s">
        <v>5623</v>
      </c>
      <c r="CS1660" s="584" t="s">
        <v>5153</v>
      </c>
      <c r="CT1660" s="584" t="s">
        <v>5154</v>
      </c>
      <c r="CU1660" s="584" t="s">
        <v>2185</v>
      </c>
      <c r="CV1660" s="585" t="s">
        <v>5155</v>
      </c>
    </row>
    <row r="1661" spans="91:100" x14ac:dyDescent="0.25">
      <c r="CM1661" s="582"/>
      <c r="CN1661" s="584" t="s">
        <v>5624</v>
      </c>
      <c r="CO1661" s="584" t="s">
        <v>1912</v>
      </c>
      <c r="CP1661" s="584" t="s">
        <v>1888</v>
      </c>
      <c r="CQ1661" s="584" t="s">
        <v>5625</v>
      </c>
      <c r="CR1661" s="584" t="s">
        <v>5625</v>
      </c>
      <c r="CS1661" s="584" t="s">
        <v>1890</v>
      </c>
      <c r="CT1661" s="584" t="s">
        <v>5168</v>
      </c>
      <c r="CU1661" s="584" t="s">
        <v>1892</v>
      </c>
      <c r="CV1661" s="585" t="s">
        <v>1893</v>
      </c>
    </row>
    <row r="1662" spans="91:100" ht="25.5" x14ac:dyDescent="0.25">
      <c r="CM1662" s="582"/>
      <c r="CN1662" s="584" t="s">
        <v>5626</v>
      </c>
      <c r="CO1662" s="584" t="s">
        <v>1912</v>
      </c>
      <c r="CP1662" s="584" t="s">
        <v>1888</v>
      </c>
      <c r="CQ1662" s="584" t="s">
        <v>5627</v>
      </c>
      <c r="CR1662" s="584" t="s">
        <v>5627</v>
      </c>
      <c r="CS1662" s="584" t="s">
        <v>5153</v>
      </c>
      <c r="CT1662" s="584" t="s">
        <v>5154</v>
      </c>
      <c r="CU1662" s="584" t="s">
        <v>2185</v>
      </c>
      <c r="CV1662" s="585" t="s">
        <v>5155</v>
      </c>
    </row>
    <row r="1663" spans="91:100" ht="25.5" x14ac:dyDescent="0.25">
      <c r="CM1663" s="582"/>
      <c r="CN1663" s="584" t="s">
        <v>5628</v>
      </c>
      <c r="CO1663" s="584" t="s">
        <v>1912</v>
      </c>
      <c r="CP1663" s="584" t="s">
        <v>1888</v>
      </c>
      <c r="CQ1663" s="584" t="s">
        <v>5629</v>
      </c>
      <c r="CR1663" s="584" t="s">
        <v>5630</v>
      </c>
      <c r="CS1663" s="584" t="s">
        <v>5153</v>
      </c>
      <c r="CT1663" s="584" t="s">
        <v>5154</v>
      </c>
      <c r="CU1663" s="584" t="s">
        <v>2185</v>
      </c>
      <c r="CV1663" s="585" t="s">
        <v>5155</v>
      </c>
    </row>
    <row r="1664" spans="91:100" ht="25.5" x14ac:dyDescent="0.25">
      <c r="CM1664" s="582"/>
      <c r="CN1664" s="584" t="s">
        <v>5631</v>
      </c>
      <c r="CO1664" s="584" t="s">
        <v>1912</v>
      </c>
      <c r="CP1664" s="584" t="s">
        <v>1888</v>
      </c>
      <c r="CQ1664" s="584" t="s">
        <v>5632</v>
      </c>
      <c r="CR1664" s="584" t="s">
        <v>5632</v>
      </c>
      <c r="CS1664" s="584" t="s">
        <v>5153</v>
      </c>
      <c r="CT1664" s="584" t="s">
        <v>5154</v>
      </c>
      <c r="CU1664" s="584" t="s">
        <v>2185</v>
      </c>
      <c r="CV1664" s="585" t="s">
        <v>5155</v>
      </c>
    </row>
    <row r="1665" spans="91:100" ht="25.5" x14ac:dyDescent="0.25">
      <c r="CM1665" s="582"/>
      <c r="CN1665" s="584" t="s">
        <v>5633</v>
      </c>
      <c r="CO1665" s="584" t="s">
        <v>1912</v>
      </c>
      <c r="CP1665" s="584" t="s">
        <v>1888</v>
      </c>
      <c r="CQ1665" s="584" t="s">
        <v>5634</v>
      </c>
      <c r="CR1665" s="584" t="s">
        <v>5635</v>
      </c>
      <c r="CS1665" s="584" t="s">
        <v>5153</v>
      </c>
      <c r="CT1665" s="584" t="s">
        <v>5154</v>
      </c>
      <c r="CU1665" s="584" t="s">
        <v>2185</v>
      </c>
      <c r="CV1665" s="585" t="s">
        <v>5155</v>
      </c>
    </row>
    <row r="1666" spans="91:100" x14ac:dyDescent="0.25">
      <c r="CM1666" s="582"/>
      <c r="CN1666" s="584" t="s">
        <v>5636</v>
      </c>
      <c r="CO1666" s="584" t="s">
        <v>1912</v>
      </c>
      <c r="CP1666" s="584" t="s">
        <v>1888</v>
      </c>
      <c r="CQ1666" s="584" t="s">
        <v>5637</v>
      </c>
      <c r="CR1666" s="584" t="s">
        <v>5637</v>
      </c>
      <c r="CS1666" s="584" t="s">
        <v>1890</v>
      </c>
      <c r="CT1666" s="584" t="s">
        <v>5168</v>
      </c>
      <c r="CU1666" s="584" t="s">
        <v>1892</v>
      </c>
      <c r="CV1666" s="585" t="s">
        <v>1893</v>
      </c>
    </row>
    <row r="1667" spans="91:100" x14ac:dyDescent="0.25">
      <c r="CM1667" s="582"/>
      <c r="CN1667" s="584" t="s">
        <v>5638</v>
      </c>
      <c r="CO1667" s="584" t="s">
        <v>1912</v>
      </c>
      <c r="CP1667" s="584" t="s">
        <v>1888</v>
      </c>
      <c r="CQ1667" s="584" t="s">
        <v>5639</v>
      </c>
      <c r="CR1667" s="584" t="s">
        <v>5639</v>
      </c>
      <c r="CS1667" s="584" t="s">
        <v>1890</v>
      </c>
      <c r="CT1667" s="584" t="s">
        <v>5168</v>
      </c>
      <c r="CU1667" s="584" t="s">
        <v>1892</v>
      </c>
      <c r="CV1667" s="585" t="s">
        <v>1893</v>
      </c>
    </row>
    <row r="1668" spans="91:100" x14ac:dyDescent="0.25">
      <c r="CM1668" s="582"/>
      <c r="CN1668" s="584" t="s">
        <v>5640</v>
      </c>
      <c r="CO1668" s="584" t="s">
        <v>1912</v>
      </c>
      <c r="CP1668" s="584" t="s">
        <v>1888</v>
      </c>
      <c r="CQ1668" s="584" t="s">
        <v>5641</v>
      </c>
      <c r="CR1668" s="584" t="s">
        <v>5641</v>
      </c>
      <c r="CS1668" s="584" t="s">
        <v>1890</v>
      </c>
      <c r="CT1668" s="584" t="s">
        <v>5168</v>
      </c>
      <c r="CU1668" s="584" t="s">
        <v>1892</v>
      </c>
      <c r="CV1668" s="585" t="s">
        <v>1893</v>
      </c>
    </row>
    <row r="1669" spans="91:100" ht="25.5" x14ac:dyDescent="0.25">
      <c r="CM1669" s="582"/>
      <c r="CN1669" s="584" t="s">
        <v>5642</v>
      </c>
      <c r="CO1669" s="584" t="s">
        <v>1912</v>
      </c>
      <c r="CP1669" s="584" t="s">
        <v>1888</v>
      </c>
      <c r="CQ1669" s="584" t="s">
        <v>5643</v>
      </c>
      <c r="CR1669" s="584" t="s">
        <v>5643</v>
      </c>
      <c r="CS1669" s="584" t="s">
        <v>5153</v>
      </c>
      <c r="CT1669" s="584" t="s">
        <v>5154</v>
      </c>
      <c r="CU1669" s="584" t="s">
        <v>2185</v>
      </c>
      <c r="CV1669" s="585" t="s">
        <v>5155</v>
      </c>
    </row>
    <row r="1670" spans="91:100" ht="25.5" x14ac:dyDescent="0.25">
      <c r="CM1670" s="582"/>
      <c r="CN1670" s="584" t="s">
        <v>5644</v>
      </c>
      <c r="CO1670" s="584" t="s">
        <v>1912</v>
      </c>
      <c r="CP1670" s="584" t="s">
        <v>1888</v>
      </c>
      <c r="CQ1670" s="584" t="s">
        <v>5645</v>
      </c>
      <c r="CR1670" s="584" t="s">
        <v>5645</v>
      </c>
      <c r="CS1670" s="584" t="s">
        <v>5153</v>
      </c>
      <c r="CT1670" s="584" t="s">
        <v>5154</v>
      </c>
      <c r="CU1670" s="584" t="s">
        <v>2185</v>
      </c>
      <c r="CV1670" s="585" t="s">
        <v>5155</v>
      </c>
    </row>
    <row r="1671" spans="91:100" x14ac:dyDescent="0.25">
      <c r="CM1671" s="582"/>
      <c r="CN1671" s="584" t="s">
        <v>5646</v>
      </c>
      <c r="CO1671" s="584" t="s">
        <v>1912</v>
      </c>
      <c r="CP1671" s="584" t="s">
        <v>1888</v>
      </c>
      <c r="CQ1671" s="584" t="s">
        <v>5647</v>
      </c>
      <c r="CR1671" s="584" t="s">
        <v>5648</v>
      </c>
      <c r="CS1671" s="584" t="s">
        <v>1890</v>
      </c>
      <c r="CT1671" s="584" t="s">
        <v>5168</v>
      </c>
      <c r="CU1671" s="584" t="s">
        <v>1892</v>
      </c>
      <c r="CV1671" s="585" t="s">
        <v>1893</v>
      </c>
    </row>
    <row r="1672" spans="91:100" ht="25.5" x14ac:dyDescent="0.25">
      <c r="CM1672" s="582"/>
      <c r="CN1672" s="584" t="s">
        <v>5649</v>
      </c>
      <c r="CO1672" s="584" t="s">
        <v>1912</v>
      </c>
      <c r="CP1672" s="584" t="s">
        <v>1888</v>
      </c>
      <c r="CQ1672" s="584" t="s">
        <v>5650</v>
      </c>
      <c r="CR1672" s="584" t="s">
        <v>5651</v>
      </c>
      <c r="CS1672" s="584" t="s">
        <v>5153</v>
      </c>
      <c r="CT1672" s="584" t="s">
        <v>5154</v>
      </c>
      <c r="CU1672" s="584" t="s">
        <v>2185</v>
      </c>
      <c r="CV1672" s="585" t="s">
        <v>5155</v>
      </c>
    </row>
    <row r="1673" spans="91:100" ht="25.5" x14ac:dyDescent="0.25">
      <c r="CM1673" s="582"/>
      <c r="CN1673" s="584" t="s">
        <v>5652</v>
      </c>
      <c r="CO1673" s="584" t="s">
        <v>1912</v>
      </c>
      <c r="CP1673" s="584" t="s">
        <v>1888</v>
      </c>
      <c r="CQ1673" s="584" t="s">
        <v>5653</v>
      </c>
      <c r="CR1673" s="584" t="s">
        <v>5654</v>
      </c>
      <c r="CS1673" s="584" t="s">
        <v>5153</v>
      </c>
      <c r="CT1673" s="584" t="s">
        <v>5154</v>
      </c>
      <c r="CU1673" s="584" t="s">
        <v>2185</v>
      </c>
      <c r="CV1673" s="585" t="s">
        <v>5155</v>
      </c>
    </row>
    <row r="1674" spans="91:100" x14ac:dyDescent="0.25">
      <c r="CM1674" s="582"/>
      <c r="CN1674" s="584" t="s">
        <v>5655</v>
      </c>
      <c r="CO1674" s="584" t="s">
        <v>1912</v>
      </c>
      <c r="CP1674" s="584" t="s">
        <v>1888</v>
      </c>
      <c r="CQ1674" s="584" t="s">
        <v>5656</v>
      </c>
      <c r="CR1674" s="584" t="s">
        <v>5656</v>
      </c>
      <c r="CS1674" s="584" t="s">
        <v>1890</v>
      </c>
      <c r="CT1674" s="584" t="s">
        <v>5168</v>
      </c>
      <c r="CU1674" s="584" t="s">
        <v>1892</v>
      </c>
      <c r="CV1674" s="585" t="s">
        <v>1893</v>
      </c>
    </row>
    <row r="1675" spans="91:100" ht="25.5" x14ac:dyDescent="0.25">
      <c r="CM1675" s="582"/>
      <c r="CN1675" s="584" t="s">
        <v>5657</v>
      </c>
      <c r="CO1675" s="584" t="s">
        <v>1912</v>
      </c>
      <c r="CP1675" s="584" t="s">
        <v>1888</v>
      </c>
      <c r="CQ1675" s="584" t="s">
        <v>5658</v>
      </c>
      <c r="CR1675" s="584" t="s">
        <v>5659</v>
      </c>
      <c r="CS1675" s="584" t="s">
        <v>5153</v>
      </c>
      <c r="CT1675" s="584" t="s">
        <v>5154</v>
      </c>
      <c r="CU1675" s="584" t="s">
        <v>2185</v>
      </c>
      <c r="CV1675" s="585" t="s">
        <v>5155</v>
      </c>
    </row>
    <row r="1676" spans="91:100" x14ac:dyDescent="0.25">
      <c r="CM1676" s="582"/>
      <c r="CN1676" s="584" t="s">
        <v>5660</v>
      </c>
      <c r="CO1676" s="584" t="s">
        <v>1912</v>
      </c>
      <c r="CP1676" s="584" t="s">
        <v>1888</v>
      </c>
      <c r="CQ1676" s="584" t="s">
        <v>5661</v>
      </c>
      <c r="CR1676" s="584" t="s">
        <v>5662</v>
      </c>
      <c r="CS1676" s="584" t="s">
        <v>1890</v>
      </c>
      <c r="CT1676" s="584" t="s">
        <v>5168</v>
      </c>
      <c r="CU1676" s="584" t="s">
        <v>1892</v>
      </c>
      <c r="CV1676" s="585" t="s">
        <v>1893</v>
      </c>
    </row>
    <row r="1677" spans="91:100" ht="25.5" x14ac:dyDescent="0.25">
      <c r="CM1677" s="582"/>
      <c r="CN1677" s="584" t="s">
        <v>5663</v>
      </c>
      <c r="CO1677" s="584" t="s">
        <v>1912</v>
      </c>
      <c r="CP1677" s="584" t="s">
        <v>1888</v>
      </c>
      <c r="CQ1677" s="584" t="s">
        <v>5664</v>
      </c>
      <c r="CR1677" s="584" t="s">
        <v>5665</v>
      </c>
      <c r="CS1677" s="584" t="s">
        <v>5153</v>
      </c>
      <c r="CT1677" s="584" t="s">
        <v>5154</v>
      </c>
      <c r="CU1677" s="584" t="s">
        <v>2185</v>
      </c>
      <c r="CV1677" s="585" t="s">
        <v>5155</v>
      </c>
    </row>
    <row r="1678" spans="91:100" ht="25.5" x14ac:dyDescent="0.25">
      <c r="CM1678" s="582"/>
      <c r="CN1678" s="584" t="s">
        <v>5666</v>
      </c>
      <c r="CO1678" s="584" t="s">
        <v>1912</v>
      </c>
      <c r="CP1678" s="584" t="s">
        <v>1888</v>
      </c>
      <c r="CQ1678" s="584" t="s">
        <v>5667</v>
      </c>
      <c r="CR1678" s="584" t="s">
        <v>5668</v>
      </c>
      <c r="CS1678" s="584" t="s">
        <v>5153</v>
      </c>
      <c r="CT1678" s="584" t="s">
        <v>5154</v>
      </c>
      <c r="CU1678" s="584" t="s">
        <v>2185</v>
      </c>
      <c r="CV1678" s="585" t="s">
        <v>5155</v>
      </c>
    </row>
    <row r="1679" spans="91:100" x14ac:dyDescent="0.25">
      <c r="CM1679" s="582"/>
      <c r="CN1679" s="584" t="s">
        <v>5669</v>
      </c>
      <c r="CO1679" s="584" t="s">
        <v>1912</v>
      </c>
      <c r="CP1679" s="584" t="s">
        <v>1888</v>
      </c>
      <c r="CQ1679" s="584" t="s">
        <v>5670</v>
      </c>
      <c r="CR1679" s="584" t="s">
        <v>5671</v>
      </c>
      <c r="CS1679" s="584" t="s">
        <v>1890</v>
      </c>
      <c r="CT1679" s="584" t="s">
        <v>5168</v>
      </c>
      <c r="CU1679" s="584" t="s">
        <v>1892</v>
      </c>
      <c r="CV1679" s="585" t="s">
        <v>1893</v>
      </c>
    </row>
    <row r="1680" spans="91:100" x14ac:dyDescent="0.25">
      <c r="CM1680" s="582"/>
      <c r="CN1680" s="584" t="s">
        <v>5672</v>
      </c>
      <c r="CO1680" s="584" t="s">
        <v>1912</v>
      </c>
      <c r="CP1680" s="584" t="s">
        <v>1888</v>
      </c>
      <c r="CQ1680" s="584" t="s">
        <v>5673</v>
      </c>
      <c r="CR1680" s="584" t="s">
        <v>5673</v>
      </c>
      <c r="CS1680" s="584" t="s">
        <v>1890</v>
      </c>
      <c r="CT1680" s="584" t="s">
        <v>5168</v>
      </c>
      <c r="CU1680" s="584" t="s">
        <v>1892</v>
      </c>
      <c r="CV1680" s="585" t="s">
        <v>1893</v>
      </c>
    </row>
    <row r="1681" spans="91:100" ht="25.5" x14ac:dyDescent="0.25">
      <c r="CM1681" s="582"/>
      <c r="CN1681" s="584" t="s">
        <v>5674</v>
      </c>
      <c r="CO1681" s="584" t="s">
        <v>1912</v>
      </c>
      <c r="CP1681" s="584" t="s">
        <v>1888</v>
      </c>
      <c r="CQ1681" s="584" t="s">
        <v>5675</v>
      </c>
      <c r="CR1681" s="584" t="s">
        <v>5675</v>
      </c>
      <c r="CS1681" s="584" t="s">
        <v>5153</v>
      </c>
      <c r="CT1681" s="584" t="s">
        <v>5154</v>
      </c>
      <c r="CU1681" s="584" t="s">
        <v>2185</v>
      </c>
      <c r="CV1681" s="585" t="s">
        <v>5155</v>
      </c>
    </row>
    <row r="1682" spans="91:100" ht="25.5" x14ac:dyDescent="0.25">
      <c r="CM1682" s="582"/>
      <c r="CN1682" s="584" t="s">
        <v>5676</v>
      </c>
      <c r="CO1682" s="584" t="s">
        <v>1912</v>
      </c>
      <c r="CP1682" s="584" t="s">
        <v>1888</v>
      </c>
      <c r="CQ1682" s="584" t="s">
        <v>5677</v>
      </c>
      <c r="CR1682" s="584" t="s">
        <v>5677</v>
      </c>
      <c r="CS1682" s="584" t="s">
        <v>5153</v>
      </c>
      <c r="CT1682" s="584" t="s">
        <v>5154</v>
      </c>
      <c r="CU1682" s="584" t="s">
        <v>2185</v>
      </c>
      <c r="CV1682" s="585" t="s">
        <v>5155</v>
      </c>
    </row>
    <row r="1683" spans="91:100" ht="25.5" x14ac:dyDescent="0.25">
      <c r="CM1683" s="582"/>
      <c r="CN1683" s="584" t="s">
        <v>5678</v>
      </c>
      <c r="CO1683" s="584" t="s">
        <v>1912</v>
      </c>
      <c r="CP1683" s="584" t="s">
        <v>1888</v>
      </c>
      <c r="CQ1683" s="584" t="s">
        <v>5679</v>
      </c>
      <c r="CR1683" s="584" t="s">
        <v>5679</v>
      </c>
      <c r="CS1683" s="584" t="s">
        <v>5153</v>
      </c>
      <c r="CT1683" s="584" t="s">
        <v>5154</v>
      </c>
      <c r="CU1683" s="584" t="s">
        <v>2185</v>
      </c>
      <c r="CV1683" s="585" t="s">
        <v>5155</v>
      </c>
    </row>
    <row r="1684" spans="91:100" x14ac:dyDescent="0.25">
      <c r="CM1684" s="582"/>
      <c r="CN1684" s="584" t="s">
        <v>5680</v>
      </c>
      <c r="CO1684" s="584" t="s">
        <v>1912</v>
      </c>
      <c r="CP1684" s="584" t="s">
        <v>1888</v>
      </c>
      <c r="CQ1684" s="584" t="s">
        <v>5681</v>
      </c>
      <c r="CR1684" s="584" t="s">
        <v>5681</v>
      </c>
      <c r="CS1684" s="584" t="s">
        <v>1890</v>
      </c>
      <c r="CT1684" s="584" t="s">
        <v>5168</v>
      </c>
      <c r="CU1684" s="584" t="s">
        <v>1892</v>
      </c>
      <c r="CV1684" s="585" t="s">
        <v>1893</v>
      </c>
    </row>
    <row r="1685" spans="91:100" x14ac:dyDescent="0.25">
      <c r="CM1685" s="582"/>
      <c r="CN1685" s="584" t="s">
        <v>5682</v>
      </c>
      <c r="CO1685" s="584" t="s">
        <v>1912</v>
      </c>
      <c r="CP1685" s="584" t="s">
        <v>1888</v>
      </c>
      <c r="CQ1685" s="584" t="s">
        <v>5683</v>
      </c>
      <c r="CR1685" s="584" t="s">
        <v>5683</v>
      </c>
      <c r="CS1685" s="584" t="s">
        <v>1890</v>
      </c>
      <c r="CT1685" s="584" t="s">
        <v>5168</v>
      </c>
      <c r="CU1685" s="584" t="s">
        <v>1892</v>
      </c>
      <c r="CV1685" s="585" t="s">
        <v>1893</v>
      </c>
    </row>
    <row r="1686" spans="91:100" ht="25.5" x14ac:dyDescent="0.25">
      <c r="CM1686" s="582"/>
      <c r="CN1686" s="584" t="s">
        <v>5684</v>
      </c>
      <c r="CO1686" s="584" t="s">
        <v>1912</v>
      </c>
      <c r="CP1686" s="584" t="s">
        <v>1888</v>
      </c>
      <c r="CQ1686" s="584" t="s">
        <v>5685</v>
      </c>
      <c r="CR1686" s="584" t="s">
        <v>5685</v>
      </c>
      <c r="CS1686" s="584" t="s">
        <v>5153</v>
      </c>
      <c r="CT1686" s="584" t="s">
        <v>5154</v>
      </c>
      <c r="CU1686" s="584" t="s">
        <v>2185</v>
      </c>
      <c r="CV1686" s="585" t="s">
        <v>5155</v>
      </c>
    </row>
    <row r="1687" spans="91:100" x14ac:dyDescent="0.25">
      <c r="CM1687" s="582"/>
      <c r="CN1687" s="584" t="s">
        <v>5686</v>
      </c>
      <c r="CO1687" s="584" t="s">
        <v>1912</v>
      </c>
      <c r="CP1687" s="584" t="s">
        <v>1888</v>
      </c>
      <c r="CQ1687" s="584" t="s">
        <v>5687</v>
      </c>
      <c r="CR1687" s="584" t="s">
        <v>5687</v>
      </c>
      <c r="CS1687" s="584" t="s">
        <v>1890</v>
      </c>
      <c r="CT1687" s="584" t="s">
        <v>5168</v>
      </c>
      <c r="CU1687" s="584" t="s">
        <v>1892</v>
      </c>
      <c r="CV1687" s="585" t="s">
        <v>1893</v>
      </c>
    </row>
    <row r="1688" spans="91:100" ht="25.5" x14ac:dyDescent="0.25">
      <c r="CM1688" s="582"/>
      <c r="CN1688" s="584" t="s">
        <v>5688</v>
      </c>
      <c r="CO1688" s="584" t="s">
        <v>1912</v>
      </c>
      <c r="CP1688" s="584" t="s">
        <v>1888</v>
      </c>
      <c r="CQ1688" s="584" t="s">
        <v>5689</v>
      </c>
      <c r="CR1688" s="584" t="s">
        <v>5689</v>
      </c>
      <c r="CS1688" s="584" t="s">
        <v>5153</v>
      </c>
      <c r="CT1688" s="584" t="s">
        <v>5154</v>
      </c>
      <c r="CU1688" s="584" t="s">
        <v>2185</v>
      </c>
      <c r="CV1688" s="585" t="s">
        <v>5155</v>
      </c>
    </row>
    <row r="1689" spans="91:100" ht="25.5" x14ac:dyDescent="0.25">
      <c r="CM1689" s="582"/>
      <c r="CN1689" s="584" t="s">
        <v>5690</v>
      </c>
      <c r="CO1689" s="584" t="s">
        <v>1912</v>
      </c>
      <c r="CP1689" s="584" t="s">
        <v>1888</v>
      </c>
      <c r="CQ1689" s="584" t="s">
        <v>5691</v>
      </c>
      <c r="CR1689" s="584" t="s">
        <v>5691</v>
      </c>
      <c r="CS1689" s="584" t="s">
        <v>5153</v>
      </c>
      <c r="CT1689" s="584" t="s">
        <v>5154</v>
      </c>
      <c r="CU1689" s="584" t="s">
        <v>2185</v>
      </c>
      <c r="CV1689" s="585" t="s">
        <v>5155</v>
      </c>
    </row>
    <row r="1690" spans="91:100" x14ac:dyDescent="0.25">
      <c r="CM1690" s="582"/>
      <c r="CN1690" s="584" t="s">
        <v>5692</v>
      </c>
      <c r="CO1690" s="584" t="s">
        <v>1912</v>
      </c>
      <c r="CP1690" s="584" t="s">
        <v>1888</v>
      </c>
      <c r="CQ1690" s="584" t="s">
        <v>5693</v>
      </c>
      <c r="CR1690" s="584" t="s">
        <v>5693</v>
      </c>
      <c r="CS1690" s="584" t="s">
        <v>1890</v>
      </c>
      <c r="CT1690" s="584" t="s">
        <v>5168</v>
      </c>
      <c r="CU1690" s="584" t="s">
        <v>1892</v>
      </c>
      <c r="CV1690" s="585" t="s">
        <v>1893</v>
      </c>
    </row>
    <row r="1691" spans="91:100" ht="25.5" x14ac:dyDescent="0.25">
      <c r="CM1691" s="582"/>
      <c r="CN1691" s="584" t="s">
        <v>5694</v>
      </c>
      <c r="CO1691" s="584" t="s">
        <v>1912</v>
      </c>
      <c r="CP1691" s="584" t="s">
        <v>1888</v>
      </c>
      <c r="CQ1691" s="584" t="s">
        <v>5695</v>
      </c>
      <c r="CR1691" s="584" t="s">
        <v>5696</v>
      </c>
      <c r="CS1691" s="584" t="s">
        <v>5153</v>
      </c>
      <c r="CT1691" s="584" t="s">
        <v>5154</v>
      </c>
      <c r="CU1691" s="584" t="s">
        <v>2185</v>
      </c>
      <c r="CV1691" s="585" t="s">
        <v>5155</v>
      </c>
    </row>
    <row r="1692" spans="91:100" ht="25.5" x14ac:dyDescent="0.25">
      <c r="CM1692" s="582"/>
      <c r="CN1692" s="584" t="s">
        <v>5697</v>
      </c>
      <c r="CO1692" s="584" t="s">
        <v>1912</v>
      </c>
      <c r="CP1692" s="584" t="s">
        <v>1888</v>
      </c>
      <c r="CQ1692" s="584" t="s">
        <v>5698</v>
      </c>
      <c r="CR1692" s="584" t="s">
        <v>5699</v>
      </c>
      <c r="CS1692" s="584" t="s">
        <v>5153</v>
      </c>
      <c r="CT1692" s="584" t="s">
        <v>5154</v>
      </c>
      <c r="CU1692" s="584" t="s">
        <v>2185</v>
      </c>
      <c r="CV1692" s="585" t="s">
        <v>5155</v>
      </c>
    </row>
    <row r="1693" spans="91:100" ht="25.5" x14ac:dyDescent="0.25">
      <c r="CM1693" s="582"/>
      <c r="CN1693" s="584" t="s">
        <v>5700</v>
      </c>
      <c r="CO1693" s="584" t="s">
        <v>1912</v>
      </c>
      <c r="CP1693" s="584" t="s">
        <v>1888</v>
      </c>
      <c r="CQ1693" s="584" t="s">
        <v>5701</v>
      </c>
      <c r="CR1693" s="584" t="s">
        <v>5702</v>
      </c>
      <c r="CS1693" s="584" t="s">
        <v>5153</v>
      </c>
      <c r="CT1693" s="584" t="s">
        <v>5154</v>
      </c>
      <c r="CU1693" s="584" t="s">
        <v>2185</v>
      </c>
      <c r="CV1693" s="585" t="s">
        <v>5155</v>
      </c>
    </row>
    <row r="1694" spans="91:100" x14ac:dyDescent="0.25">
      <c r="CM1694" s="582"/>
      <c r="CN1694" s="584" t="s">
        <v>5703</v>
      </c>
      <c r="CO1694" s="584" t="s">
        <v>1912</v>
      </c>
      <c r="CP1694" s="584" t="s">
        <v>1888</v>
      </c>
      <c r="CQ1694" s="584" t="s">
        <v>5704</v>
      </c>
      <c r="CR1694" s="584" t="s">
        <v>5704</v>
      </c>
      <c r="CS1694" s="584" t="s">
        <v>1890</v>
      </c>
      <c r="CT1694" s="584" t="s">
        <v>5168</v>
      </c>
      <c r="CU1694" s="584" t="s">
        <v>1892</v>
      </c>
      <c r="CV1694" s="585" t="s">
        <v>1893</v>
      </c>
    </row>
    <row r="1695" spans="91:100" ht="25.5" x14ac:dyDescent="0.25">
      <c r="CM1695" s="582"/>
      <c r="CN1695" s="584" t="s">
        <v>5705</v>
      </c>
      <c r="CO1695" s="584" t="s">
        <v>1912</v>
      </c>
      <c r="CP1695" s="584" t="s">
        <v>1888</v>
      </c>
      <c r="CQ1695" s="584" t="s">
        <v>5706</v>
      </c>
      <c r="CR1695" s="584" t="s">
        <v>5707</v>
      </c>
      <c r="CS1695" s="584" t="s">
        <v>5153</v>
      </c>
      <c r="CT1695" s="584" t="s">
        <v>5154</v>
      </c>
      <c r="CU1695" s="584" t="s">
        <v>2185</v>
      </c>
      <c r="CV1695" s="585" t="s">
        <v>5155</v>
      </c>
    </row>
    <row r="1696" spans="91:100" x14ac:dyDescent="0.25">
      <c r="CM1696" s="582"/>
      <c r="CN1696" s="584" t="s">
        <v>5708</v>
      </c>
      <c r="CO1696" s="584" t="s">
        <v>1912</v>
      </c>
      <c r="CP1696" s="584" t="s">
        <v>1888</v>
      </c>
      <c r="CQ1696" s="584" t="s">
        <v>5709</v>
      </c>
      <c r="CR1696" s="584" t="s">
        <v>5709</v>
      </c>
      <c r="CS1696" s="584" t="s">
        <v>1890</v>
      </c>
      <c r="CT1696" s="584" t="s">
        <v>5168</v>
      </c>
      <c r="CU1696" s="584" t="s">
        <v>1892</v>
      </c>
      <c r="CV1696" s="585" t="s">
        <v>1893</v>
      </c>
    </row>
    <row r="1697" spans="91:100" ht="25.5" x14ac:dyDescent="0.25">
      <c r="CM1697" s="582"/>
      <c r="CN1697" s="584" t="s">
        <v>5710</v>
      </c>
      <c r="CO1697" s="584" t="s">
        <v>1912</v>
      </c>
      <c r="CP1697" s="584" t="s">
        <v>1888</v>
      </c>
      <c r="CQ1697" s="584" t="s">
        <v>5711</v>
      </c>
      <c r="CR1697" s="584" t="s">
        <v>5712</v>
      </c>
      <c r="CS1697" s="584" t="s">
        <v>5153</v>
      </c>
      <c r="CT1697" s="584" t="s">
        <v>5154</v>
      </c>
      <c r="CU1697" s="584" t="s">
        <v>2185</v>
      </c>
      <c r="CV1697" s="585" t="s">
        <v>5155</v>
      </c>
    </row>
    <row r="1698" spans="91:100" ht="25.5" x14ac:dyDescent="0.25">
      <c r="CM1698" s="582"/>
      <c r="CN1698" s="584" t="s">
        <v>5713</v>
      </c>
      <c r="CO1698" s="584" t="s">
        <v>1912</v>
      </c>
      <c r="CP1698" s="584" t="s">
        <v>1888</v>
      </c>
      <c r="CQ1698" s="584" t="s">
        <v>5714</v>
      </c>
      <c r="CR1698" s="584" t="s">
        <v>5714</v>
      </c>
      <c r="CS1698" s="584" t="s">
        <v>5153</v>
      </c>
      <c r="CT1698" s="584" t="s">
        <v>5154</v>
      </c>
      <c r="CU1698" s="584" t="s">
        <v>2185</v>
      </c>
      <c r="CV1698" s="585" t="s">
        <v>5155</v>
      </c>
    </row>
    <row r="1699" spans="91:100" ht="25.5" x14ac:dyDescent="0.25">
      <c r="CM1699" s="582"/>
      <c r="CN1699" s="584" t="s">
        <v>5715</v>
      </c>
      <c r="CO1699" s="584" t="s">
        <v>1912</v>
      </c>
      <c r="CP1699" s="584" t="s">
        <v>1888</v>
      </c>
      <c r="CQ1699" s="584" t="s">
        <v>5716</v>
      </c>
      <c r="CR1699" s="584" t="s">
        <v>5716</v>
      </c>
      <c r="CS1699" s="584" t="s">
        <v>5153</v>
      </c>
      <c r="CT1699" s="584" t="s">
        <v>5154</v>
      </c>
      <c r="CU1699" s="584" t="s">
        <v>2185</v>
      </c>
      <c r="CV1699" s="585" t="s">
        <v>5155</v>
      </c>
    </row>
    <row r="1700" spans="91:100" ht="25.5" x14ac:dyDescent="0.25">
      <c r="CM1700" s="582"/>
      <c r="CN1700" s="584" t="s">
        <v>5717</v>
      </c>
      <c r="CO1700" s="584" t="s">
        <v>1912</v>
      </c>
      <c r="CP1700" s="584" t="s">
        <v>1888</v>
      </c>
      <c r="CQ1700" s="584" t="s">
        <v>5718</v>
      </c>
      <c r="CR1700" s="584" t="s">
        <v>5719</v>
      </c>
      <c r="CS1700" s="584" t="s">
        <v>5153</v>
      </c>
      <c r="CT1700" s="584" t="s">
        <v>5154</v>
      </c>
      <c r="CU1700" s="584" t="s">
        <v>2185</v>
      </c>
      <c r="CV1700" s="585" t="s">
        <v>5155</v>
      </c>
    </row>
    <row r="1701" spans="91:100" ht="25.5" x14ac:dyDescent="0.25">
      <c r="CM1701" s="582"/>
      <c r="CN1701" s="584" t="s">
        <v>5720</v>
      </c>
      <c r="CO1701" s="584" t="s">
        <v>1912</v>
      </c>
      <c r="CP1701" s="584" t="s">
        <v>1888</v>
      </c>
      <c r="CQ1701" s="584" t="s">
        <v>5721</v>
      </c>
      <c r="CR1701" s="584" t="s">
        <v>5721</v>
      </c>
      <c r="CS1701" s="584" t="s">
        <v>5153</v>
      </c>
      <c r="CT1701" s="584" t="s">
        <v>5154</v>
      </c>
      <c r="CU1701" s="584" t="s">
        <v>2185</v>
      </c>
      <c r="CV1701" s="585" t="s">
        <v>5155</v>
      </c>
    </row>
    <row r="1702" spans="91:100" x14ac:dyDescent="0.25">
      <c r="CM1702" s="582"/>
      <c r="CN1702" s="584" t="s">
        <v>5722</v>
      </c>
      <c r="CO1702" s="584" t="s">
        <v>1912</v>
      </c>
      <c r="CP1702" s="584" t="s">
        <v>1888</v>
      </c>
      <c r="CQ1702" s="584" t="s">
        <v>5723</v>
      </c>
      <c r="CR1702" s="584" t="s">
        <v>5723</v>
      </c>
      <c r="CS1702" s="584" t="s">
        <v>1890</v>
      </c>
      <c r="CT1702" s="584" t="s">
        <v>5168</v>
      </c>
      <c r="CU1702" s="584" t="s">
        <v>1892</v>
      </c>
      <c r="CV1702" s="585" t="s">
        <v>1893</v>
      </c>
    </row>
    <row r="1703" spans="91:100" ht="25.5" x14ac:dyDescent="0.25">
      <c r="CM1703" s="582"/>
      <c r="CN1703" s="584" t="s">
        <v>5724</v>
      </c>
      <c r="CO1703" s="584" t="s">
        <v>1912</v>
      </c>
      <c r="CP1703" s="584" t="s">
        <v>1888</v>
      </c>
      <c r="CQ1703" s="584" t="s">
        <v>5725</v>
      </c>
      <c r="CR1703" s="584" t="s">
        <v>5726</v>
      </c>
      <c r="CS1703" s="584" t="s">
        <v>5153</v>
      </c>
      <c r="CT1703" s="584" t="s">
        <v>5154</v>
      </c>
      <c r="CU1703" s="584" t="s">
        <v>2185</v>
      </c>
      <c r="CV1703" s="585" t="s">
        <v>5155</v>
      </c>
    </row>
    <row r="1704" spans="91:100" ht="25.5" x14ac:dyDescent="0.25">
      <c r="CM1704" s="582"/>
      <c r="CN1704" s="584" t="s">
        <v>5727</v>
      </c>
      <c r="CO1704" s="584" t="s">
        <v>1912</v>
      </c>
      <c r="CP1704" s="584" t="s">
        <v>1888</v>
      </c>
      <c r="CQ1704" s="584" t="s">
        <v>5728</v>
      </c>
      <c r="CR1704" s="584" t="s">
        <v>5729</v>
      </c>
      <c r="CS1704" s="584" t="s">
        <v>5153</v>
      </c>
      <c r="CT1704" s="584" t="s">
        <v>5154</v>
      </c>
      <c r="CU1704" s="584" t="s">
        <v>2185</v>
      </c>
      <c r="CV1704" s="585" t="s">
        <v>5155</v>
      </c>
    </row>
    <row r="1705" spans="91:100" ht="25.5" x14ac:dyDescent="0.25">
      <c r="CM1705" s="582"/>
      <c r="CN1705" s="584" t="s">
        <v>5730</v>
      </c>
      <c r="CO1705" s="584" t="s">
        <v>1912</v>
      </c>
      <c r="CP1705" s="584" t="s">
        <v>1888</v>
      </c>
      <c r="CQ1705" s="584" t="s">
        <v>5731</v>
      </c>
      <c r="CR1705" s="584" t="s">
        <v>5731</v>
      </c>
      <c r="CS1705" s="584" t="s">
        <v>5153</v>
      </c>
      <c r="CT1705" s="584" t="s">
        <v>5154</v>
      </c>
      <c r="CU1705" s="584" t="s">
        <v>2185</v>
      </c>
      <c r="CV1705" s="585" t="s">
        <v>5155</v>
      </c>
    </row>
    <row r="1706" spans="91:100" x14ac:dyDescent="0.25">
      <c r="CM1706" s="582"/>
      <c r="CN1706" s="584" t="s">
        <v>5732</v>
      </c>
      <c r="CO1706" s="584" t="s">
        <v>1912</v>
      </c>
      <c r="CP1706" s="584" t="s">
        <v>1888</v>
      </c>
      <c r="CQ1706" s="584" t="s">
        <v>5733</v>
      </c>
      <c r="CR1706" s="584" t="s">
        <v>5733</v>
      </c>
      <c r="CS1706" s="584" t="s">
        <v>1890</v>
      </c>
      <c r="CT1706" s="584" t="s">
        <v>5168</v>
      </c>
      <c r="CU1706" s="584" t="s">
        <v>1892</v>
      </c>
      <c r="CV1706" s="585" t="s">
        <v>1893</v>
      </c>
    </row>
    <row r="1707" spans="91:100" x14ac:dyDescent="0.25">
      <c r="CM1707" s="582"/>
      <c r="CN1707" s="584" t="s">
        <v>5734</v>
      </c>
      <c r="CO1707" s="584" t="s">
        <v>1912</v>
      </c>
      <c r="CP1707" s="584" t="s">
        <v>1888</v>
      </c>
      <c r="CQ1707" s="584" t="s">
        <v>5735</v>
      </c>
      <c r="CR1707" s="584" t="s">
        <v>5736</v>
      </c>
      <c r="CS1707" s="584" t="s">
        <v>1890</v>
      </c>
      <c r="CT1707" s="584" t="s">
        <v>5168</v>
      </c>
      <c r="CU1707" s="584" t="s">
        <v>1892</v>
      </c>
      <c r="CV1707" s="585" t="s">
        <v>1893</v>
      </c>
    </row>
    <row r="1708" spans="91:100" ht="25.5" x14ac:dyDescent="0.25">
      <c r="CM1708" s="582"/>
      <c r="CN1708" s="584" t="s">
        <v>5737</v>
      </c>
      <c r="CO1708" s="584" t="s">
        <v>1912</v>
      </c>
      <c r="CP1708" s="584" t="s">
        <v>1888</v>
      </c>
      <c r="CQ1708" s="584" t="s">
        <v>5738</v>
      </c>
      <c r="CR1708" s="584" t="s">
        <v>5738</v>
      </c>
      <c r="CS1708" s="584" t="s">
        <v>5153</v>
      </c>
      <c r="CT1708" s="584" t="s">
        <v>5154</v>
      </c>
      <c r="CU1708" s="584" t="s">
        <v>2185</v>
      </c>
      <c r="CV1708" s="585" t="s">
        <v>5155</v>
      </c>
    </row>
    <row r="1709" spans="91:100" ht="25.5" x14ac:dyDescent="0.25">
      <c r="CM1709" s="582"/>
      <c r="CN1709" s="584" t="s">
        <v>5739</v>
      </c>
      <c r="CO1709" s="584" t="s">
        <v>1912</v>
      </c>
      <c r="CP1709" s="584" t="s">
        <v>1888</v>
      </c>
      <c r="CQ1709" s="584" t="s">
        <v>5740</v>
      </c>
      <c r="CR1709" s="584" t="s">
        <v>5740</v>
      </c>
      <c r="CS1709" s="584" t="s">
        <v>5153</v>
      </c>
      <c r="CT1709" s="584" t="s">
        <v>5154</v>
      </c>
      <c r="CU1709" s="584" t="s">
        <v>2185</v>
      </c>
      <c r="CV1709" s="585" t="s">
        <v>5155</v>
      </c>
    </row>
    <row r="1710" spans="91:100" ht="25.5" x14ac:dyDescent="0.25">
      <c r="CM1710" s="582"/>
      <c r="CN1710" s="584" t="s">
        <v>5741</v>
      </c>
      <c r="CO1710" s="584" t="s">
        <v>1912</v>
      </c>
      <c r="CP1710" s="584" t="s">
        <v>1888</v>
      </c>
      <c r="CQ1710" s="584" t="s">
        <v>5742</v>
      </c>
      <c r="CR1710" s="584" t="s">
        <v>5742</v>
      </c>
      <c r="CS1710" s="584" t="s">
        <v>5153</v>
      </c>
      <c r="CT1710" s="584" t="s">
        <v>5154</v>
      </c>
      <c r="CU1710" s="584" t="s">
        <v>2185</v>
      </c>
      <c r="CV1710" s="585" t="s">
        <v>5155</v>
      </c>
    </row>
    <row r="1711" spans="91:100" x14ac:dyDescent="0.25">
      <c r="CM1711" s="582"/>
      <c r="CN1711" s="584" t="s">
        <v>5743</v>
      </c>
      <c r="CO1711" s="584" t="s">
        <v>1912</v>
      </c>
      <c r="CP1711" s="584" t="s">
        <v>1888</v>
      </c>
      <c r="CQ1711" s="584" t="s">
        <v>5744</v>
      </c>
      <c r="CR1711" s="584" t="s">
        <v>5744</v>
      </c>
      <c r="CS1711" s="584" t="s">
        <v>1890</v>
      </c>
      <c r="CT1711" s="584" t="s">
        <v>5168</v>
      </c>
      <c r="CU1711" s="584" t="s">
        <v>1892</v>
      </c>
      <c r="CV1711" s="585" t="s">
        <v>1893</v>
      </c>
    </row>
    <row r="1712" spans="91:100" ht="25.5" x14ac:dyDescent="0.25">
      <c r="CM1712" s="582"/>
      <c r="CN1712" s="584" t="s">
        <v>5745</v>
      </c>
      <c r="CO1712" s="584" t="s">
        <v>1912</v>
      </c>
      <c r="CP1712" s="584" t="s">
        <v>1888</v>
      </c>
      <c r="CQ1712" s="584" t="s">
        <v>5746</v>
      </c>
      <c r="CR1712" s="584" t="s">
        <v>5746</v>
      </c>
      <c r="CS1712" s="584" t="s">
        <v>5153</v>
      </c>
      <c r="CT1712" s="584" t="s">
        <v>5154</v>
      </c>
      <c r="CU1712" s="584" t="s">
        <v>2185</v>
      </c>
      <c r="CV1712" s="585" t="s">
        <v>5155</v>
      </c>
    </row>
    <row r="1713" spans="91:100" ht="25.5" x14ac:dyDescent="0.25">
      <c r="CM1713" s="582"/>
      <c r="CN1713" s="584" t="s">
        <v>5747</v>
      </c>
      <c r="CO1713" s="584" t="s">
        <v>1912</v>
      </c>
      <c r="CP1713" s="584" t="s">
        <v>1888</v>
      </c>
      <c r="CQ1713" s="584" t="s">
        <v>5748</v>
      </c>
      <c r="CR1713" s="584" t="s">
        <v>5748</v>
      </c>
      <c r="CS1713" s="584" t="s">
        <v>5153</v>
      </c>
      <c r="CT1713" s="584" t="s">
        <v>5154</v>
      </c>
      <c r="CU1713" s="584" t="s">
        <v>2185</v>
      </c>
      <c r="CV1713" s="585" t="s">
        <v>5155</v>
      </c>
    </row>
    <row r="1714" spans="91:100" ht="25.5" x14ac:dyDescent="0.25">
      <c r="CM1714" s="582"/>
      <c r="CN1714" s="584" t="s">
        <v>5749</v>
      </c>
      <c r="CO1714" s="584" t="s">
        <v>1912</v>
      </c>
      <c r="CP1714" s="584" t="s">
        <v>1888</v>
      </c>
      <c r="CQ1714" s="584" t="s">
        <v>5750</v>
      </c>
      <c r="CR1714" s="584" t="s">
        <v>5750</v>
      </c>
      <c r="CS1714" s="584" t="s">
        <v>5153</v>
      </c>
      <c r="CT1714" s="584" t="s">
        <v>5154</v>
      </c>
      <c r="CU1714" s="584" t="s">
        <v>2185</v>
      </c>
      <c r="CV1714" s="585" t="s">
        <v>5155</v>
      </c>
    </row>
    <row r="1715" spans="91:100" ht="25.5" x14ac:dyDescent="0.25">
      <c r="CM1715" s="582"/>
      <c r="CN1715" s="584" t="s">
        <v>5751</v>
      </c>
      <c r="CO1715" s="584" t="s">
        <v>1912</v>
      </c>
      <c r="CP1715" s="584" t="s">
        <v>1888</v>
      </c>
      <c r="CQ1715" s="584" t="s">
        <v>5752</v>
      </c>
      <c r="CR1715" s="584" t="s">
        <v>5752</v>
      </c>
      <c r="CS1715" s="584" t="s">
        <v>5153</v>
      </c>
      <c r="CT1715" s="584" t="s">
        <v>5154</v>
      </c>
      <c r="CU1715" s="584" t="s">
        <v>2185</v>
      </c>
      <c r="CV1715" s="585" t="s">
        <v>5155</v>
      </c>
    </row>
    <row r="1716" spans="91:100" ht="25.5" x14ac:dyDescent="0.25">
      <c r="CM1716" s="582"/>
      <c r="CN1716" s="584" t="s">
        <v>5753</v>
      </c>
      <c r="CO1716" s="584" t="s">
        <v>1912</v>
      </c>
      <c r="CP1716" s="584" t="s">
        <v>1888</v>
      </c>
      <c r="CQ1716" s="584" t="s">
        <v>5754</v>
      </c>
      <c r="CR1716" s="584" t="s">
        <v>5754</v>
      </c>
      <c r="CS1716" s="584" t="s">
        <v>5153</v>
      </c>
      <c r="CT1716" s="584" t="s">
        <v>5154</v>
      </c>
      <c r="CU1716" s="584" t="s">
        <v>2185</v>
      </c>
      <c r="CV1716" s="585" t="s">
        <v>5155</v>
      </c>
    </row>
    <row r="1717" spans="91:100" ht="25.5" x14ac:dyDescent="0.25">
      <c r="CM1717" s="582"/>
      <c r="CN1717" s="584" t="s">
        <v>5755</v>
      </c>
      <c r="CO1717" s="584" t="s">
        <v>1912</v>
      </c>
      <c r="CP1717" s="584" t="s">
        <v>1888</v>
      </c>
      <c r="CQ1717" s="584" t="s">
        <v>5756</v>
      </c>
      <c r="CR1717" s="584" t="s">
        <v>5757</v>
      </c>
      <c r="CS1717" s="584" t="s">
        <v>5153</v>
      </c>
      <c r="CT1717" s="584" t="s">
        <v>5154</v>
      </c>
      <c r="CU1717" s="584" t="s">
        <v>2185</v>
      </c>
      <c r="CV1717" s="585" t="s">
        <v>5155</v>
      </c>
    </row>
    <row r="1718" spans="91:100" ht="25.5" x14ac:dyDescent="0.25">
      <c r="CM1718" s="582"/>
      <c r="CN1718" s="584" t="s">
        <v>5758</v>
      </c>
      <c r="CO1718" s="584" t="s">
        <v>1912</v>
      </c>
      <c r="CP1718" s="584" t="s">
        <v>1888</v>
      </c>
      <c r="CQ1718" s="584" t="s">
        <v>5759</v>
      </c>
      <c r="CR1718" s="584" t="s">
        <v>5759</v>
      </c>
      <c r="CS1718" s="584" t="s">
        <v>5153</v>
      </c>
      <c r="CT1718" s="584" t="s">
        <v>5154</v>
      </c>
      <c r="CU1718" s="584" t="s">
        <v>2185</v>
      </c>
      <c r="CV1718" s="585" t="s">
        <v>5155</v>
      </c>
    </row>
    <row r="1719" spans="91:100" ht="25.5" x14ac:dyDescent="0.25">
      <c r="CM1719" s="582"/>
      <c r="CN1719" s="584" t="s">
        <v>5760</v>
      </c>
      <c r="CO1719" s="584" t="s">
        <v>1912</v>
      </c>
      <c r="CP1719" s="584" t="s">
        <v>1888</v>
      </c>
      <c r="CQ1719" s="584" t="s">
        <v>5761</v>
      </c>
      <c r="CR1719" s="584" t="s">
        <v>5761</v>
      </c>
      <c r="CS1719" s="584" t="s">
        <v>5153</v>
      </c>
      <c r="CT1719" s="584" t="s">
        <v>5154</v>
      </c>
      <c r="CU1719" s="584" t="s">
        <v>2185</v>
      </c>
      <c r="CV1719" s="585" t="s">
        <v>5155</v>
      </c>
    </row>
    <row r="1720" spans="91:100" ht="25.5" x14ac:dyDescent="0.25">
      <c r="CM1720" s="582"/>
      <c r="CN1720" s="584" t="s">
        <v>5762</v>
      </c>
      <c r="CO1720" s="584" t="s">
        <v>1912</v>
      </c>
      <c r="CP1720" s="584" t="s">
        <v>1888</v>
      </c>
      <c r="CQ1720" s="584" t="s">
        <v>5763</v>
      </c>
      <c r="CR1720" s="584" t="s">
        <v>5763</v>
      </c>
      <c r="CS1720" s="584" t="s">
        <v>5153</v>
      </c>
      <c r="CT1720" s="584" t="s">
        <v>5154</v>
      </c>
      <c r="CU1720" s="584" t="s">
        <v>2185</v>
      </c>
      <c r="CV1720" s="585" t="s">
        <v>5155</v>
      </c>
    </row>
    <row r="1721" spans="91:100" x14ac:dyDescent="0.25">
      <c r="CM1721" s="582"/>
      <c r="CN1721" s="584" t="s">
        <v>5764</v>
      </c>
      <c r="CO1721" s="584" t="s">
        <v>1912</v>
      </c>
      <c r="CP1721" s="584" t="s">
        <v>1888</v>
      </c>
      <c r="CQ1721" s="584" t="s">
        <v>5765</v>
      </c>
      <c r="CR1721" s="584" t="s">
        <v>5765</v>
      </c>
      <c r="CS1721" s="584" t="s">
        <v>1890</v>
      </c>
      <c r="CT1721" s="584" t="s">
        <v>5168</v>
      </c>
      <c r="CU1721" s="584" t="s">
        <v>1892</v>
      </c>
      <c r="CV1721" s="585" t="s">
        <v>1893</v>
      </c>
    </row>
    <row r="1722" spans="91:100" x14ac:dyDescent="0.25">
      <c r="CM1722" s="582"/>
      <c r="CN1722" s="584" t="s">
        <v>5766</v>
      </c>
      <c r="CO1722" s="584" t="s">
        <v>1912</v>
      </c>
      <c r="CP1722" s="584" t="s">
        <v>1888</v>
      </c>
      <c r="CQ1722" s="584" t="s">
        <v>5767</v>
      </c>
      <c r="CR1722" s="584" t="s">
        <v>5767</v>
      </c>
      <c r="CS1722" s="584" t="s">
        <v>1890</v>
      </c>
      <c r="CT1722" s="584" t="s">
        <v>5168</v>
      </c>
      <c r="CU1722" s="584" t="s">
        <v>1892</v>
      </c>
      <c r="CV1722" s="585" t="s">
        <v>1893</v>
      </c>
    </row>
    <row r="1723" spans="91:100" x14ac:dyDescent="0.25">
      <c r="CM1723" s="582"/>
      <c r="CN1723" s="584" t="s">
        <v>5768</v>
      </c>
      <c r="CO1723" s="584" t="s">
        <v>1912</v>
      </c>
      <c r="CP1723" s="584" t="s">
        <v>1888</v>
      </c>
      <c r="CQ1723" s="584" t="s">
        <v>5769</v>
      </c>
      <c r="CR1723" s="584" t="s">
        <v>5769</v>
      </c>
      <c r="CS1723" s="584" t="s">
        <v>1890</v>
      </c>
      <c r="CT1723" s="584" t="s">
        <v>5168</v>
      </c>
      <c r="CU1723" s="584" t="s">
        <v>1892</v>
      </c>
      <c r="CV1723" s="585" t="s">
        <v>1893</v>
      </c>
    </row>
    <row r="1724" spans="91:100" ht="25.5" x14ac:dyDescent="0.25">
      <c r="CM1724" s="582"/>
      <c r="CN1724" s="584" t="s">
        <v>5770</v>
      </c>
      <c r="CO1724" s="584" t="s">
        <v>1912</v>
      </c>
      <c r="CP1724" s="584" t="s">
        <v>1888</v>
      </c>
      <c r="CQ1724" s="584" t="s">
        <v>5771</v>
      </c>
      <c r="CR1724" s="584" t="s">
        <v>5771</v>
      </c>
      <c r="CS1724" s="584" t="s">
        <v>5153</v>
      </c>
      <c r="CT1724" s="584" t="s">
        <v>5154</v>
      </c>
      <c r="CU1724" s="584" t="s">
        <v>2185</v>
      </c>
      <c r="CV1724" s="585" t="s">
        <v>5155</v>
      </c>
    </row>
    <row r="1725" spans="91:100" ht="25.5" x14ac:dyDescent="0.25">
      <c r="CM1725" s="582"/>
      <c r="CN1725" s="584" t="s">
        <v>5772</v>
      </c>
      <c r="CO1725" s="584" t="s">
        <v>1912</v>
      </c>
      <c r="CP1725" s="584" t="s">
        <v>1888</v>
      </c>
      <c r="CQ1725" s="584" t="s">
        <v>5773</v>
      </c>
      <c r="CR1725" s="584" t="s">
        <v>5774</v>
      </c>
      <c r="CS1725" s="584" t="s">
        <v>5153</v>
      </c>
      <c r="CT1725" s="584" t="s">
        <v>5154</v>
      </c>
      <c r="CU1725" s="584" t="s">
        <v>2185</v>
      </c>
      <c r="CV1725" s="585" t="s">
        <v>5155</v>
      </c>
    </row>
    <row r="1726" spans="91:100" ht="25.5" x14ac:dyDescent="0.25">
      <c r="CM1726" s="582"/>
      <c r="CN1726" s="584" t="s">
        <v>5775</v>
      </c>
      <c r="CO1726" s="584" t="s">
        <v>1912</v>
      </c>
      <c r="CP1726" s="584" t="s">
        <v>1888</v>
      </c>
      <c r="CQ1726" s="584" t="s">
        <v>5776</v>
      </c>
      <c r="CR1726" s="584" t="s">
        <v>5777</v>
      </c>
      <c r="CS1726" s="584" t="s">
        <v>5153</v>
      </c>
      <c r="CT1726" s="584" t="s">
        <v>5154</v>
      </c>
      <c r="CU1726" s="584" t="s">
        <v>2185</v>
      </c>
      <c r="CV1726" s="585" t="s">
        <v>5155</v>
      </c>
    </row>
    <row r="1727" spans="91:100" ht="25.5" x14ac:dyDescent="0.25">
      <c r="CM1727" s="582"/>
      <c r="CN1727" s="584" t="s">
        <v>5778</v>
      </c>
      <c r="CO1727" s="584" t="s">
        <v>1912</v>
      </c>
      <c r="CP1727" s="584" t="s">
        <v>1888</v>
      </c>
      <c r="CQ1727" s="584" t="s">
        <v>5779</v>
      </c>
      <c r="CR1727" s="584" t="s">
        <v>5780</v>
      </c>
      <c r="CS1727" s="584" t="s">
        <v>5153</v>
      </c>
      <c r="CT1727" s="584" t="s">
        <v>5154</v>
      </c>
      <c r="CU1727" s="584" t="s">
        <v>2185</v>
      </c>
      <c r="CV1727" s="585" t="s">
        <v>5155</v>
      </c>
    </row>
    <row r="1728" spans="91:100" ht="25.5" x14ac:dyDescent="0.25">
      <c r="CM1728" s="582"/>
      <c r="CN1728" s="584" t="s">
        <v>5781</v>
      </c>
      <c r="CO1728" s="584" t="s">
        <v>1912</v>
      </c>
      <c r="CP1728" s="584" t="s">
        <v>1888</v>
      </c>
      <c r="CQ1728" s="584" t="s">
        <v>5782</v>
      </c>
      <c r="CR1728" s="584" t="s">
        <v>5782</v>
      </c>
      <c r="CS1728" s="584" t="s">
        <v>5153</v>
      </c>
      <c r="CT1728" s="584" t="s">
        <v>5154</v>
      </c>
      <c r="CU1728" s="584" t="s">
        <v>2185</v>
      </c>
      <c r="CV1728" s="585" t="s">
        <v>5155</v>
      </c>
    </row>
    <row r="1729" spans="91:100" x14ac:dyDescent="0.25">
      <c r="CM1729" s="582"/>
      <c r="CN1729" s="584" t="s">
        <v>5783</v>
      </c>
      <c r="CO1729" s="584" t="s">
        <v>1912</v>
      </c>
      <c r="CP1729" s="584" t="s">
        <v>1888</v>
      </c>
      <c r="CQ1729" s="584" t="s">
        <v>5784</v>
      </c>
      <c r="CR1729" s="584" t="s">
        <v>5784</v>
      </c>
      <c r="CS1729" s="584" t="s">
        <v>1978</v>
      </c>
      <c r="CT1729" s="584" t="s">
        <v>1979</v>
      </c>
      <c r="CU1729" s="584" t="s">
        <v>1892</v>
      </c>
      <c r="CV1729" s="585" t="s">
        <v>1980</v>
      </c>
    </row>
    <row r="1730" spans="91:100" ht="25.5" x14ac:dyDescent="0.25">
      <c r="CM1730" s="582"/>
      <c r="CN1730" s="584" t="s">
        <v>5785</v>
      </c>
      <c r="CO1730" s="584" t="s">
        <v>1912</v>
      </c>
      <c r="CP1730" s="584" t="s">
        <v>1888</v>
      </c>
      <c r="CQ1730" s="584" t="s">
        <v>5786</v>
      </c>
      <c r="CR1730" s="584" t="s">
        <v>5786</v>
      </c>
      <c r="CS1730" s="584" t="s">
        <v>5153</v>
      </c>
      <c r="CT1730" s="584" t="s">
        <v>5154</v>
      </c>
      <c r="CU1730" s="584" t="s">
        <v>2185</v>
      </c>
      <c r="CV1730" s="585" t="s">
        <v>5155</v>
      </c>
    </row>
    <row r="1731" spans="91:100" ht="25.5" x14ac:dyDescent="0.25">
      <c r="CM1731" s="582"/>
      <c r="CN1731" s="584" t="s">
        <v>5787</v>
      </c>
      <c r="CO1731" s="584" t="s">
        <v>1912</v>
      </c>
      <c r="CP1731" s="584" t="s">
        <v>1888</v>
      </c>
      <c r="CQ1731" s="584" t="s">
        <v>5788</v>
      </c>
      <c r="CR1731" s="584" t="s">
        <v>5788</v>
      </c>
      <c r="CS1731" s="584" t="s">
        <v>5153</v>
      </c>
      <c r="CT1731" s="584" t="s">
        <v>5154</v>
      </c>
      <c r="CU1731" s="584" t="s">
        <v>2185</v>
      </c>
      <c r="CV1731" s="585" t="s">
        <v>5155</v>
      </c>
    </row>
    <row r="1732" spans="91:100" x14ac:dyDescent="0.25">
      <c r="CM1732" s="582"/>
      <c r="CN1732" s="584" t="s">
        <v>5789</v>
      </c>
      <c r="CO1732" s="584" t="s">
        <v>1912</v>
      </c>
      <c r="CP1732" s="584" t="s">
        <v>1888</v>
      </c>
      <c r="CQ1732" s="584" t="s">
        <v>5790</v>
      </c>
      <c r="CR1732" s="584" t="s">
        <v>5790</v>
      </c>
      <c r="CS1732" s="584" t="s">
        <v>1890</v>
      </c>
      <c r="CT1732" s="584" t="s">
        <v>5168</v>
      </c>
      <c r="CU1732" s="584" t="s">
        <v>1892</v>
      </c>
      <c r="CV1732" s="585" t="s">
        <v>1893</v>
      </c>
    </row>
    <row r="1733" spans="91:100" ht="25.5" x14ac:dyDescent="0.25">
      <c r="CM1733" s="582"/>
      <c r="CN1733" s="584" t="s">
        <v>5791</v>
      </c>
      <c r="CO1733" s="584" t="s">
        <v>1912</v>
      </c>
      <c r="CP1733" s="584" t="s">
        <v>1888</v>
      </c>
      <c r="CQ1733" s="584" t="s">
        <v>5792</v>
      </c>
      <c r="CR1733" s="584" t="s">
        <v>5793</v>
      </c>
      <c r="CS1733" s="584" t="s">
        <v>5153</v>
      </c>
      <c r="CT1733" s="584" t="s">
        <v>5154</v>
      </c>
      <c r="CU1733" s="584" t="s">
        <v>2185</v>
      </c>
      <c r="CV1733" s="585" t="s">
        <v>5155</v>
      </c>
    </row>
    <row r="1734" spans="91:100" ht="25.5" x14ac:dyDescent="0.25">
      <c r="CM1734" s="582"/>
      <c r="CN1734" s="584" t="s">
        <v>5794</v>
      </c>
      <c r="CO1734" s="584" t="s">
        <v>1912</v>
      </c>
      <c r="CP1734" s="584" t="s">
        <v>1888</v>
      </c>
      <c r="CQ1734" s="584" t="s">
        <v>5795</v>
      </c>
      <c r="CR1734" s="584" t="s">
        <v>5795</v>
      </c>
      <c r="CS1734" s="584" t="s">
        <v>5153</v>
      </c>
      <c r="CT1734" s="584" t="s">
        <v>5154</v>
      </c>
      <c r="CU1734" s="584" t="s">
        <v>2185</v>
      </c>
      <c r="CV1734" s="585" t="s">
        <v>5155</v>
      </c>
    </row>
    <row r="1735" spans="91:100" x14ac:dyDescent="0.25">
      <c r="CM1735" s="582"/>
      <c r="CN1735" s="584" t="s">
        <v>5796</v>
      </c>
      <c r="CO1735" s="584" t="s">
        <v>1912</v>
      </c>
      <c r="CP1735" s="584" t="s">
        <v>1888</v>
      </c>
      <c r="CQ1735" s="584" t="s">
        <v>5797</v>
      </c>
      <c r="CR1735" s="584" t="s">
        <v>5797</v>
      </c>
      <c r="CS1735" s="584" t="s">
        <v>1890</v>
      </c>
      <c r="CT1735" s="584" t="s">
        <v>5168</v>
      </c>
      <c r="CU1735" s="584" t="s">
        <v>1892</v>
      </c>
      <c r="CV1735" s="585" t="s">
        <v>1893</v>
      </c>
    </row>
    <row r="1736" spans="91:100" x14ac:dyDescent="0.25">
      <c r="CM1736" s="582"/>
      <c r="CN1736" s="584" t="s">
        <v>5798</v>
      </c>
      <c r="CO1736" s="584" t="s">
        <v>1912</v>
      </c>
      <c r="CP1736" s="584" t="s">
        <v>1888</v>
      </c>
      <c r="CQ1736" s="584" t="s">
        <v>5799</v>
      </c>
      <c r="CR1736" s="584" t="s">
        <v>5799</v>
      </c>
      <c r="CS1736" s="584" t="s">
        <v>1978</v>
      </c>
      <c r="CT1736" s="584" t="s">
        <v>1979</v>
      </c>
      <c r="CU1736" s="584" t="s">
        <v>1892</v>
      </c>
      <c r="CV1736" s="585" t="s">
        <v>1980</v>
      </c>
    </row>
    <row r="1737" spans="91:100" x14ac:dyDescent="0.25">
      <c r="CM1737" s="582"/>
      <c r="CN1737" s="584" t="s">
        <v>5800</v>
      </c>
      <c r="CO1737" s="584" t="s">
        <v>1912</v>
      </c>
      <c r="CP1737" s="584" t="s">
        <v>1888</v>
      </c>
      <c r="CQ1737" s="584" t="s">
        <v>5801</v>
      </c>
      <c r="CR1737" s="584" t="s">
        <v>5801</v>
      </c>
      <c r="CS1737" s="584" t="s">
        <v>1890</v>
      </c>
      <c r="CT1737" s="584" t="s">
        <v>5168</v>
      </c>
      <c r="CU1737" s="584" t="s">
        <v>1892</v>
      </c>
      <c r="CV1737" s="585" t="s">
        <v>1893</v>
      </c>
    </row>
    <row r="1738" spans="91:100" ht="25.5" x14ac:dyDescent="0.25">
      <c r="CM1738" s="582"/>
      <c r="CN1738" s="584" t="s">
        <v>5802</v>
      </c>
      <c r="CO1738" s="584" t="s">
        <v>1912</v>
      </c>
      <c r="CP1738" s="584" t="s">
        <v>1888</v>
      </c>
      <c r="CQ1738" s="584" t="s">
        <v>5803</v>
      </c>
      <c r="CR1738" s="584" t="s">
        <v>5803</v>
      </c>
      <c r="CS1738" s="584" t="s">
        <v>5153</v>
      </c>
      <c r="CT1738" s="584" t="s">
        <v>5154</v>
      </c>
      <c r="CU1738" s="584" t="s">
        <v>2185</v>
      </c>
      <c r="CV1738" s="585" t="s">
        <v>5155</v>
      </c>
    </row>
    <row r="1739" spans="91:100" x14ac:dyDescent="0.25">
      <c r="CM1739" s="582"/>
      <c r="CN1739" s="584" t="s">
        <v>5804</v>
      </c>
      <c r="CO1739" s="584" t="s">
        <v>1912</v>
      </c>
      <c r="CP1739" s="584" t="s">
        <v>1888</v>
      </c>
      <c r="CQ1739" s="584" t="s">
        <v>5805</v>
      </c>
      <c r="CR1739" s="584" t="s">
        <v>5805</v>
      </c>
      <c r="CS1739" s="584" t="s">
        <v>1978</v>
      </c>
      <c r="CT1739" s="584" t="s">
        <v>1979</v>
      </c>
      <c r="CU1739" s="584" t="s">
        <v>1892</v>
      </c>
      <c r="CV1739" s="585" t="s">
        <v>1980</v>
      </c>
    </row>
    <row r="1740" spans="91:100" x14ac:dyDescent="0.25">
      <c r="CM1740" s="582"/>
      <c r="CN1740" s="584" t="s">
        <v>5806</v>
      </c>
      <c r="CO1740" s="584" t="s">
        <v>1912</v>
      </c>
      <c r="CP1740" s="584" t="s">
        <v>2325</v>
      </c>
      <c r="CQ1740" s="584" t="s">
        <v>5807</v>
      </c>
      <c r="CR1740" s="584" t="s">
        <v>5807</v>
      </c>
      <c r="CS1740" s="584" t="s">
        <v>1978</v>
      </c>
      <c r="CT1740" s="584" t="s">
        <v>2327</v>
      </c>
      <c r="CU1740" s="584" t="s">
        <v>1892</v>
      </c>
      <c r="CV1740" s="585" t="s">
        <v>1980</v>
      </c>
    </row>
    <row r="1741" spans="91:100" x14ac:dyDescent="0.25">
      <c r="CM1741" s="582"/>
      <c r="CN1741" s="584" t="s">
        <v>5808</v>
      </c>
      <c r="CO1741" s="584" t="s">
        <v>1912</v>
      </c>
      <c r="CP1741" s="584" t="s">
        <v>2325</v>
      </c>
      <c r="CQ1741" s="584" t="s">
        <v>5809</v>
      </c>
      <c r="CR1741" s="584" t="s">
        <v>5809</v>
      </c>
      <c r="CS1741" s="584" t="s">
        <v>1978</v>
      </c>
      <c r="CT1741" s="584" t="s">
        <v>2327</v>
      </c>
      <c r="CU1741" s="584" t="s">
        <v>1892</v>
      </c>
      <c r="CV1741" s="585" t="s">
        <v>1980</v>
      </c>
    </row>
    <row r="1742" spans="91:100" ht="25.5" x14ac:dyDescent="0.25">
      <c r="CM1742" s="582"/>
      <c r="CN1742" s="584" t="s">
        <v>5810</v>
      </c>
      <c r="CO1742" s="584" t="s">
        <v>1912</v>
      </c>
      <c r="CP1742" s="584" t="s">
        <v>2325</v>
      </c>
      <c r="CQ1742" s="584" t="s">
        <v>5811</v>
      </c>
      <c r="CR1742" s="584" t="s">
        <v>5812</v>
      </c>
      <c r="CS1742" s="584" t="s">
        <v>5153</v>
      </c>
      <c r="CT1742" s="584" t="s">
        <v>5813</v>
      </c>
      <c r="CU1742" s="584" t="s">
        <v>2185</v>
      </c>
      <c r="CV1742" s="585" t="s">
        <v>5155</v>
      </c>
    </row>
    <row r="1743" spans="91:100" x14ac:dyDescent="0.25">
      <c r="CM1743" s="582"/>
      <c r="CN1743" s="584" t="s">
        <v>5814</v>
      </c>
      <c r="CO1743" s="584" t="s">
        <v>1912</v>
      </c>
      <c r="CP1743" s="584" t="s">
        <v>2325</v>
      </c>
      <c r="CQ1743" s="584" t="s">
        <v>5815</v>
      </c>
      <c r="CR1743" s="584" t="s">
        <v>5815</v>
      </c>
      <c r="CS1743" s="584" t="s">
        <v>1890</v>
      </c>
      <c r="CT1743" s="584" t="s">
        <v>5816</v>
      </c>
      <c r="CU1743" s="584" t="s">
        <v>1892</v>
      </c>
      <c r="CV1743" s="585" t="s">
        <v>1893</v>
      </c>
    </row>
    <row r="1744" spans="91:100" x14ac:dyDescent="0.25">
      <c r="CM1744" s="582"/>
      <c r="CN1744" s="584" t="s">
        <v>5817</v>
      </c>
      <c r="CO1744" s="584" t="s">
        <v>1912</v>
      </c>
      <c r="CP1744" s="584" t="s">
        <v>2325</v>
      </c>
      <c r="CQ1744" s="584" t="s">
        <v>4997</v>
      </c>
      <c r="CR1744" s="584" t="s">
        <v>4997</v>
      </c>
      <c r="CS1744" s="584" t="s">
        <v>1890</v>
      </c>
      <c r="CT1744" s="584" t="s">
        <v>5816</v>
      </c>
      <c r="CU1744" s="584" t="s">
        <v>1892</v>
      </c>
      <c r="CV1744" s="585" t="s">
        <v>1893</v>
      </c>
    </row>
    <row r="1745" spans="91:100" x14ac:dyDescent="0.25">
      <c r="CM1745" s="582"/>
      <c r="CN1745" s="584" t="s">
        <v>5818</v>
      </c>
      <c r="CO1745" s="584" t="s">
        <v>1912</v>
      </c>
      <c r="CP1745" s="584" t="s">
        <v>2325</v>
      </c>
      <c r="CQ1745" s="584" t="s">
        <v>4999</v>
      </c>
      <c r="CR1745" s="584" t="s">
        <v>5000</v>
      </c>
      <c r="CS1745" s="584" t="s">
        <v>1890</v>
      </c>
      <c r="CT1745" s="584" t="s">
        <v>5816</v>
      </c>
      <c r="CU1745" s="584" t="s">
        <v>1892</v>
      </c>
      <c r="CV1745" s="585" t="s">
        <v>1893</v>
      </c>
    </row>
    <row r="1746" spans="91:100" x14ac:dyDescent="0.25">
      <c r="CM1746" s="582"/>
      <c r="CN1746" s="584" t="s">
        <v>5819</v>
      </c>
      <c r="CO1746" s="584" t="s">
        <v>1912</v>
      </c>
      <c r="CP1746" s="584" t="s">
        <v>2325</v>
      </c>
      <c r="CQ1746" s="584" t="s">
        <v>5820</v>
      </c>
      <c r="CR1746" s="584" t="s">
        <v>5820</v>
      </c>
      <c r="CS1746" s="584" t="s">
        <v>1890</v>
      </c>
      <c r="CT1746" s="584" t="s">
        <v>5816</v>
      </c>
      <c r="CU1746" s="584" t="s">
        <v>1892</v>
      </c>
      <c r="CV1746" s="585" t="s">
        <v>1893</v>
      </c>
    </row>
    <row r="1747" spans="91:100" x14ac:dyDescent="0.25">
      <c r="CM1747" s="582"/>
      <c r="CN1747" s="584" t="s">
        <v>5821</v>
      </c>
      <c r="CO1747" s="584" t="s">
        <v>1912</v>
      </c>
      <c r="CP1747" s="584" t="s">
        <v>2325</v>
      </c>
      <c r="CQ1747" s="584" t="s">
        <v>5822</v>
      </c>
      <c r="CR1747" s="584" t="s">
        <v>5822</v>
      </c>
      <c r="CS1747" s="584" t="s">
        <v>1890</v>
      </c>
      <c r="CT1747" s="584" t="s">
        <v>5816</v>
      </c>
      <c r="CU1747" s="584" t="s">
        <v>1892</v>
      </c>
      <c r="CV1747" s="585" t="s">
        <v>1893</v>
      </c>
    </row>
    <row r="1748" spans="91:100" ht="25.5" x14ac:dyDescent="0.25">
      <c r="CM1748" s="582"/>
      <c r="CN1748" s="584" t="s">
        <v>5823</v>
      </c>
      <c r="CO1748" s="584" t="s">
        <v>1912</v>
      </c>
      <c r="CP1748" s="584" t="s">
        <v>2325</v>
      </c>
      <c r="CQ1748" s="584" t="s">
        <v>5824</v>
      </c>
      <c r="CR1748" s="584" t="s">
        <v>5824</v>
      </c>
      <c r="CS1748" s="584" t="s">
        <v>5153</v>
      </c>
      <c r="CT1748" s="584" t="s">
        <v>5813</v>
      </c>
      <c r="CU1748" s="584" t="s">
        <v>2185</v>
      </c>
      <c r="CV1748" s="585" t="s">
        <v>5155</v>
      </c>
    </row>
    <row r="1749" spans="91:100" x14ac:dyDescent="0.25">
      <c r="CM1749" s="582"/>
      <c r="CN1749" s="584" t="s">
        <v>5825</v>
      </c>
      <c r="CO1749" s="584" t="s">
        <v>1912</v>
      </c>
      <c r="CP1749" s="584" t="s">
        <v>2325</v>
      </c>
      <c r="CQ1749" s="584" t="s">
        <v>5826</v>
      </c>
      <c r="CR1749" s="584" t="s">
        <v>5827</v>
      </c>
      <c r="CS1749" s="584" t="s">
        <v>1890</v>
      </c>
      <c r="CT1749" s="584" t="s">
        <v>5816</v>
      </c>
      <c r="CU1749" s="584" t="s">
        <v>1892</v>
      </c>
      <c r="CV1749" s="585" t="s">
        <v>1893</v>
      </c>
    </row>
    <row r="1750" spans="91:100" x14ac:dyDescent="0.25">
      <c r="CM1750" s="582"/>
      <c r="CN1750" s="584" t="s">
        <v>5828</v>
      </c>
      <c r="CO1750" s="584" t="s">
        <v>1912</v>
      </c>
      <c r="CP1750" s="584" t="s">
        <v>2325</v>
      </c>
      <c r="CQ1750" s="584" t="s">
        <v>5829</v>
      </c>
      <c r="CR1750" s="584" t="s">
        <v>5829</v>
      </c>
      <c r="CS1750" s="584" t="s">
        <v>1890</v>
      </c>
      <c r="CT1750" s="584" t="s">
        <v>5816</v>
      </c>
      <c r="CU1750" s="584" t="s">
        <v>1892</v>
      </c>
      <c r="CV1750" s="585" t="s">
        <v>1893</v>
      </c>
    </row>
    <row r="1751" spans="91:100" x14ac:dyDescent="0.25">
      <c r="CM1751" s="582"/>
      <c r="CN1751" s="584" t="s">
        <v>5830</v>
      </c>
      <c r="CO1751" s="584" t="s">
        <v>1912</v>
      </c>
      <c r="CP1751" s="584" t="s">
        <v>2325</v>
      </c>
      <c r="CQ1751" s="584" t="s">
        <v>5831</v>
      </c>
      <c r="CR1751" s="584" t="s">
        <v>5832</v>
      </c>
      <c r="CS1751" s="584" t="s">
        <v>1890</v>
      </c>
      <c r="CT1751" s="584" t="s">
        <v>5816</v>
      </c>
      <c r="CU1751" s="584" t="s">
        <v>1892</v>
      </c>
      <c r="CV1751" s="585" t="s">
        <v>1893</v>
      </c>
    </row>
    <row r="1752" spans="91:100" x14ac:dyDescent="0.25">
      <c r="CM1752" s="582"/>
      <c r="CN1752" s="584" t="s">
        <v>5833</v>
      </c>
      <c r="CO1752" s="584" t="s">
        <v>1912</v>
      </c>
      <c r="CP1752" s="584" t="s">
        <v>2325</v>
      </c>
      <c r="CQ1752" s="584" t="s">
        <v>5834</v>
      </c>
      <c r="CR1752" s="584" t="s">
        <v>5834</v>
      </c>
      <c r="CS1752" s="584" t="s">
        <v>1978</v>
      </c>
      <c r="CT1752" s="584" t="s">
        <v>2327</v>
      </c>
      <c r="CU1752" s="584" t="s">
        <v>1892</v>
      </c>
      <c r="CV1752" s="585" t="s">
        <v>1980</v>
      </c>
    </row>
    <row r="1753" spans="91:100" x14ac:dyDescent="0.25">
      <c r="CM1753" s="582"/>
      <c r="CN1753" s="584" t="s">
        <v>5835</v>
      </c>
      <c r="CO1753" s="584" t="s">
        <v>1912</v>
      </c>
      <c r="CP1753" s="584" t="s">
        <v>2325</v>
      </c>
      <c r="CQ1753" s="584" t="s">
        <v>5836</v>
      </c>
      <c r="CR1753" s="584" t="s">
        <v>5836</v>
      </c>
      <c r="CS1753" s="584" t="s">
        <v>1978</v>
      </c>
      <c r="CT1753" s="584" t="s">
        <v>2327</v>
      </c>
      <c r="CU1753" s="584" t="s">
        <v>1892</v>
      </c>
      <c r="CV1753" s="585" t="s">
        <v>1980</v>
      </c>
    </row>
    <row r="1754" spans="91:100" ht="25.5" x14ac:dyDescent="0.25">
      <c r="CM1754" s="582"/>
      <c r="CN1754" s="584" t="s">
        <v>5837</v>
      </c>
      <c r="CO1754" s="584" t="s">
        <v>1912</v>
      </c>
      <c r="CP1754" s="584" t="s">
        <v>2325</v>
      </c>
      <c r="CQ1754" s="584" t="s">
        <v>5838</v>
      </c>
      <c r="CR1754" s="584" t="s">
        <v>5838</v>
      </c>
      <c r="CS1754" s="584" t="s">
        <v>5153</v>
      </c>
      <c r="CT1754" s="584" t="s">
        <v>5813</v>
      </c>
      <c r="CU1754" s="584" t="s">
        <v>2185</v>
      </c>
      <c r="CV1754" s="585" t="s">
        <v>5155</v>
      </c>
    </row>
    <row r="1755" spans="91:100" x14ac:dyDescent="0.25">
      <c r="CM1755" s="582"/>
      <c r="CN1755" s="584" t="s">
        <v>5839</v>
      </c>
      <c r="CO1755" s="584" t="s">
        <v>1912</v>
      </c>
      <c r="CP1755" s="584" t="s">
        <v>2325</v>
      </c>
      <c r="CQ1755" s="584" t="s">
        <v>5840</v>
      </c>
      <c r="CR1755" s="584" t="s">
        <v>5840</v>
      </c>
      <c r="CS1755" s="584" t="s">
        <v>1978</v>
      </c>
      <c r="CT1755" s="584" t="s">
        <v>2327</v>
      </c>
      <c r="CU1755" s="584" t="s">
        <v>1892</v>
      </c>
      <c r="CV1755" s="585" t="s">
        <v>1980</v>
      </c>
    </row>
    <row r="1756" spans="91:100" x14ac:dyDescent="0.25">
      <c r="CM1756" s="582"/>
      <c r="CN1756" s="584" t="s">
        <v>5841</v>
      </c>
      <c r="CO1756" s="584" t="s">
        <v>1912</v>
      </c>
      <c r="CP1756" s="584" t="s">
        <v>2325</v>
      </c>
      <c r="CQ1756" s="584" t="s">
        <v>5842</v>
      </c>
      <c r="CR1756" s="584" t="s">
        <v>5842</v>
      </c>
      <c r="CS1756" s="584" t="s">
        <v>1978</v>
      </c>
      <c r="CT1756" s="584" t="s">
        <v>2327</v>
      </c>
      <c r="CU1756" s="584" t="s">
        <v>1892</v>
      </c>
      <c r="CV1756" s="585" t="s">
        <v>1980</v>
      </c>
    </row>
    <row r="1757" spans="91:100" x14ac:dyDescent="0.25">
      <c r="CM1757" s="582"/>
      <c r="CN1757" s="584" t="s">
        <v>5843</v>
      </c>
      <c r="CO1757" s="584" t="s">
        <v>1912</v>
      </c>
      <c r="CP1757" s="584" t="s">
        <v>2325</v>
      </c>
      <c r="CQ1757" s="584" t="s">
        <v>5844</v>
      </c>
      <c r="CR1757" s="584" t="s">
        <v>5844</v>
      </c>
      <c r="CS1757" s="584" t="s">
        <v>1978</v>
      </c>
      <c r="CT1757" s="584" t="s">
        <v>2327</v>
      </c>
      <c r="CU1757" s="584" t="s">
        <v>1892</v>
      </c>
      <c r="CV1757" s="585" t="s">
        <v>1980</v>
      </c>
    </row>
    <row r="1758" spans="91:100" ht="25.5" x14ac:dyDescent="0.25">
      <c r="CM1758" s="582"/>
      <c r="CN1758" s="584" t="s">
        <v>5845</v>
      </c>
      <c r="CO1758" s="584" t="s">
        <v>1912</v>
      </c>
      <c r="CP1758" s="584" t="s">
        <v>2325</v>
      </c>
      <c r="CQ1758" s="584" t="s">
        <v>5846</v>
      </c>
      <c r="CR1758" s="584" t="s">
        <v>5847</v>
      </c>
      <c r="CS1758" s="584" t="s">
        <v>5153</v>
      </c>
      <c r="CT1758" s="584" t="s">
        <v>5813</v>
      </c>
      <c r="CU1758" s="584" t="s">
        <v>2185</v>
      </c>
      <c r="CV1758" s="585" t="s">
        <v>5155</v>
      </c>
    </row>
    <row r="1759" spans="91:100" ht="25.5" x14ac:dyDescent="0.25">
      <c r="CM1759" s="582"/>
      <c r="CN1759" s="584" t="s">
        <v>5848</v>
      </c>
      <c r="CO1759" s="584" t="s">
        <v>1912</v>
      </c>
      <c r="CP1759" s="584" t="s">
        <v>2325</v>
      </c>
      <c r="CQ1759" s="584" t="s">
        <v>5849</v>
      </c>
      <c r="CR1759" s="584" t="s">
        <v>5850</v>
      </c>
      <c r="CS1759" s="584" t="s">
        <v>5153</v>
      </c>
      <c r="CT1759" s="584" t="s">
        <v>5813</v>
      </c>
      <c r="CU1759" s="584" t="s">
        <v>2185</v>
      </c>
      <c r="CV1759" s="585" t="s">
        <v>5155</v>
      </c>
    </row>
    <row r="1760" spans="91:100" x14ac:dyDescent="0.25">
      <c r="CM1760" s="582"/>
      <c r="CN1760" s="584" t="s">
        <v>5851</v>
      </c>
      <c r="CO1760" s="584" t="s">
        <v>1912</v>
      </c>
      <c r="CP1760" s="584" t="s">
        <v>2325</v>
      </c>
      <c r="CQ1760" s="584" t="s">
        <v>5852</v>
      </c>
      <c r="CR1760" s="584" t="s">
        <v>5853</v>
      </c>
      <c r="CS1760" s="584" t="s">
        <v>1890</v>
      </c>
      <c r="CT1760" s="584" t="s">
        <v>5816</v>
      </c>
      <c r="CU1760" s="584" t="s">
        <v>1892</v>
      </c>
      <c r="CV1760" s="585" t="s">
        <v>1893</v>
      </c>
    </row>
    <row r="1761" spans="91:100" ht="25.5" x14ac:dyDescent="0.25">
      <c r="CM1761" s="582"/>
      <c r="CN1761" s="584" t="s">
        <v>5854</v>
      </c>
      <c r="CO1761" s="584" t="s">
        <v>1912</v>
      </c>
      <c r="CP1761" s="584" t="s">
        <v>2325</v>
      </c>
      <c r="CQ1761" s="584" t="s">
        <v>5855</v>
      </c>
      <c r="CR1761" s="584" t="s">
        <v>5856</v>
      </c>
      <c r="CS1761" s="584" t="s">
        <v>5153</v>
      </c>
      <c r="CT1761" s="584" t="s">
        <v>5813</v>
      </c>
      <c r="CU1761" s="584" t="s">
        <v>2185</v>
      </c>
      <c r="CV1761" s="585" t="s">
        <v>5155</v>
      </c>
    </row>
    <row r="1762" spans="91:100" x14ac:dyDescent="0.25">
      <c r="CM1762" s="582"/>
      <c r="CN1762" s="584" t="s">
        <v>5857</v>
      </c>
      <c r="CO1762" s="584" t="s">
        <v>1912</v>
      </c>
      <c r="CP1762" s="584" t="s">
        <v>2325</v>
      </c>
      <c r="CQ1762" s="584" t="s">
        <v>5858</v>
      </c>
      <c r="CR1762" s="584" t="s">
        <v>5859</v>
      </c>
      <c r="CS1762" s="584" t="s">
        <v>1890</v>
      </c>
      <c r="CT1762" s="584" t="s">
        <v>5816</v>
      </c>
      <c r="CU1762" s="584" t="s">
        <v>1892</v>
      </c>
      <c r="CV1762" s="585" t="s">
        <v>1893</v>
      </c>
    </row>
    <row r="1763" spans="91:100" x14ac:dyDescent="0.25">
      <c r="CM1763" s="582"/>
      <c r="CN1763" s="584" t="s">
        <v>5860</v>
      </c>
      <c r="CO1763" s="584" t="s">
        <v>1912</v>
      </c>
      <c r="CP1763" s="584" t="s">
        <v>2325</v>
      </c>
      <c r="CQ1763" s="584" t="s">
        <v>5861</v>
      </c>
      <c r="CR1763" s="584" t="s">
        <v>5862</v>
      </c>
      <c r="CS1763" s="584" t="s">
        <v>1890</v>
      </c>
      <c r="CT1763" s="584" t="s">
        <v>5816</v>
      </c>
      <c r="CU1763" s="584" t="s">
        <v>1892</v>
      </c>
      <c r="CV1763" s="585" t="s">
        <v>1893</v>
      </c>
    </row>
    <row r="1764" spans="91:100" x14ac:dyDescent="0.25">
      <c r="CM1764" s="582"/>
      <c r="CN1764" s="584" t="s">
        <v>5863</v>
      </c>
      <c r="CO1764" s="584" t="s">
        <v>1912</v>
      </c>
      <c r="CP1764" s="584" t="s">
        <v>2325</v>
      </c>
      <c r="CQ1764" s="584" t="s">
        <v>5864</v>
      </c>
      <c r="CR1764" s="584" t="s">
        <v>5865</v>
      </c>
      <c r="CS1764" s="584" t="s">
        <v>1890</v>
      </c>
      <c r="CT1764" s="584" t="s">
        <v>5816</v>
      </c>
      <c r="CU1764" s="584" t="s">
        <v>1892</v>
      </c>
      <c r="CV1764" s="585" t="s">
        <v>1893</v>
      </c>
    </row>
    <row r="1765" spans="91:100" x14ac:dyDescent="0.25">
      <c r="CM1765" s="582"/>
      <c r="CN1765" s="584" t="s">
        <v>5866</v>
      </c>
      <c r="CO1765" s="584" t="s">
        <v>1912</v>
      </c>
      <c r="CP1765" s="584" t="s">
        <v>2325</v>
      </c>
      <c r="CQ1765" s="584" t="s">
        <v>5867</v>
      </c>
      <c r="CR1765" s="584" t="s">
        <v>5868</v>
      </c>
      <c r="CS1765" s="584" t="s">
        <v>1890</v>
      </c>
      <c r="CT1765" s="584" t="s">
        <v>5816</v>
      </c>
      <c r="CU1765" s="584" t="s">
        <v>1892</v>
      </c>
      <c r="CV1765" s="585" t="s">
        <v>1893</v>
      </c>
    </row>
    <row r="1766" spans="91:100" ht="25.5" x14ac:dyDescent="0.25">
      <c r="CM1766" s="582"/>
      <c r="CN1766" s="584" t="s">
        <v>5869</v>
      </c>
      <c r="CO1766" s="584" t="s">
        <v>1912</v>
      </c>
      <c r="CP1766" s="584" t="s">
        <v>2325</v>
      </c>
      <c r="CQ1766" s="584" t="s">
        <v>5870</v>
      </c>
      <c r="CR1766" s="584" t="s">
        <v>5871</v>
      </c>
      <c r="CS1766" s="584" t="s">
        <v>5153</v>
      </c>
      <c r="CT1766" s="584" t="s">
        <v>5813</v>
      </c>
      <c r="CU1766" s="584" t="s">
        <v>2185</v>
      </c>
      <c r="CV1766" s="585" t="s">
        <v>5155</v>
      </c>
    </row>
    <row r="1767" spans="91:100" x14ac:dyDescent="0.25">
      <c r="CM1767" s="582"/>
      <c r="CN1767" s="584" t="s">
        <v>5872</v>
      </c>
      <c r="CO1767" s="584" t="s">
        <v>1912</v>
      </c>
      <c r="CP1767" s="584" t="s">
        <v>2325</v>
      </c>
      <c r="CQ1767" s="584" t="s">
        <v>5049</v>
      </c>
      <c r="CR1767" s="584" t="s">
        <v>5050</v>
      </c>
      <c r="CS1767" s="584" t="s">
        <v>5873</v>
      </c>
      <c r="CT1767" s="584" t="s">
        <v>5874</v>
      </c>
      <c r="CU1767" s="584" t="s">
        <v>1892</v>
      </c>
      <c r="CV1767" s="585" t="s">
        <v>1893</v>
      </c>
    </row>
    <row r="1768" spans="91:100" ht="25.5" x14ac:dyDescent="0.25">
      <c r="CM1768" s="582"/>
      <c r="CN1768" s="584" t="s">
        <v>5875</v>
      </c>
      <c r="CO1768" s="584" t="s">
        <v>1912</v>
      </c>
      <c r="CP1768" s="584" t="s">
        <v>2325</v>
      </c>
      <c r="CQ1768" s="584" t="s">
        <v>5876</v>
      </c>
      <c r="CR1768" s="584" t="s">
        <v>5877</v>
      </c>
      <c r="CS1768" s="584" t="s">
        <v>5153</v>
      </c>
      <c r="CT1768" s="584" t="s">
        <v>5813</v>
      </c>
      <c r="CU1768" s="584" t="s">
        <v>2185</v>
      </c>
      <c r="CV1768" s="585" t="s">
        <v>5155</v>
      </c>
    </row>
    <row r="1769" spans="91:100" ht="25.5" x14ac:dyDescent="0.25">
      <c r="CM1769" s="582"/>
      <c r="CN1769" s="584" t="s">
        <v>5878</v>
      </c>
      <c r="CO1769" s="584" t="s">
        <v>1912</v>
      </c>
      <c r="CP1769" s="584" t="s">
        <v>2325</v>
      </c>
      <c r="CQ1769" s="584" t="s">
        <v>5879</v>
      </c>
      <c r="CR1769" s="584" t="s">
        <v>5879</v>
      </c>
      <c r="CS1769" s="584" t="s">
        <v>5153</v>
      </c>
      <c r="CT1769" s="584" t="s">
        <v>5813</v>
      </c>
      <c r="CU1769" s="584" t="s">
        <v>2185</v>
      </c>
      <c r="CV1769" s="585" t="s">
        <v>5155</v>
      </c>
    </row>
    <row r="1770" spans="91:100" x14ac:dyDescent="0.25">
      <c r="CM1770" s="582"/>
      <c r="CN1770" s="584" t="s">
        <v>5880</v>
      </c>
      <c r="CO1770" s="584" t="s">
        <v>1912</v>
      </c>
      <c r="CP1770" s="584" t="s">
        <v>2325</v>
      </c>
      <c r="CQ1770" s="584" t="s">
        <v>5881</v>
      </c>
      <c r="CR1770" s="584" t="s">
        <v>5882</v>
      </c>
      <c r="CS1770" s="584" t="s">
        <v>1890</v>
      </c>
      <c r="CT1770" s="584" t="s">
        <v>5816</v>
      </c>
      <c r="CU1770" s="584" t="s">
        <v>1892</v>
      </c>
      <c r="CV1770" s="585" t="s">
        <v>1893</v>
      </c>
    </row>
    <row r="1771" spans="91:100" ht="25.5" x14ac:dyDescent="0.25">
      <c r="CM1771" s="582"/>
      <c r="CN1771" s="584" t="s">
        <v>5883</v>
      </c>
      <c r="CO1771" s="584" t="s">
        <v>1912</v>
      </c>
      <c r="CP1771" s="584" t="s">
        <v>2325</v>
      </c>
      <c r="CQ1771" s="584" t="s">
        <v>5884</v>
      </c>
      <c r="CR1771" s="584" t="s">
        <v>5884</v>
      </c>
      <c r="CS1771" s="584" t="s">
        <v>5153</v>
      </c>
      <c r="CT1771" s="584" t="s">
        <v>5813</v>
      </c>
      <c r="CU1771" s="584" t="s">
        <v>2185</v>
      </c>
      <c r="CV1771" s="585" t="s">
        <v>5155</v>
      </c>
    </row>
    <row r="1772" spans="91:100" ht="25.5" x14ac:dyDescent="0.25">
      <c r="CM1772" s="582"/>
      <c r="CN1772" s="584" t="s">
        <v>5885</v>
      </c>
      <c r="CO1772" s="584" t="s">
        <v>1912</v>
      </c>
      <c r="CP1772" s="584" t="s">
        <v>2325</v>
      </c>
      <c r="CQ1772" s="584" t="s">
        <v>5886</v>
      </c>
      <c r="CR1772" s="584" t="s">
        <v>5887</v>
      </c>
      <c r="CS1772" s="584" t="s">
        <v>5153</v>
      </c>
      <c r="CT1772" s="584" t="s">
        <v>5813</v>
      </c>
      <c r="CU1772" s="584" t="s">
        <v>2185</v>
      </c>
      <c r="CV1772" s="585" t="s">
        <v>5155</v>
      </c>
    </row>
    <row r="1773" spans="91:100" x14ac:dyDescent="0.25">
      <c r="CM1773" s="582"/>
      <c r="CN1773" s="584" t="s">
        <v>5888</v>
      </c>
      <c r="CO1773" s="584" t="s">
        <v>1912</v>
      </c>
      <c r="CP1773" s="584" t="s">
        <v>2325</v>
      </c>
      <c r="CQ1773" s="584" t="s">
        <v>5889</v>
      </c>
      <c r="CR1773" s="584" t="s">
        <v>5889</v>
      </c>
      <c r="CS1773" s="584" t="s">
        <v>1890</v>
      </c>
      <c r="CT1773" s="584" t="s">
        <v>5816</v>
      </c>
      <c r="CU1773" s="584" t="s">
        <v>1892</v>
      </c>
      <c r="CV1773" s="585" t="s">
        <v>1893</v>
      </c>
    </row>
    <row r="1774" spans="91:100" x14ac:dyDescent="0.25">
      <c r="CM1774" s="582"/>
      <c r="CN1774" s="584" t="s">
        <v>5890</v>
      </c>
      <c r="CO1774" s="584" t="s">
        <v>1912</v>
      </c>
      <c r="CP1774" s="584" t="s">
        <v>2325</v>
      </c>
      <c r="CQ1774" s="584" t="s">
        <v>5891</v>
      </c>
      <c r="CR1774" s="584" t="s">
        <v>5891</v>
      </c>
      <c r="CS1774" s="584" t="s">
        <v>1890</v>
      </c>
      <c r="CT1774" s="584" t="s">
        <v>5816</v>
      </c>
      <c r="CU1774" s="584" t="s">
        <v>1892</v>
      </c>
      <c r="CV1774" s="585" t="s">
        <v>1893</v>
      </c>
    </row>
    <row r="1775" spans="91:100" x14ac:dyDescent="0.25">
      <c r="CM1775" s="582"/>
      <c r="CN1775" s="584" t="s">
        <v>5892</v>
      </c>
      <c r="CO1775" s="584" t="s">
        <v>1912</v>
      </c>
      <c r="CP1775" s="584" t="s">
        <v>2325</v>
      </c>
      <c r="CQ1775" s="584" t="s">
        <v>5893</v>
      </c>
      <c r="CR1775" s="584" t="s">
        <v>5893</v>
      </c>
      <c r="CS1775" s="584" t="s">
        <v>1890</v>
      </c>
      <c r="CT1775" s="584" t="s">
        <v>5816</v>
      </c>
      <c r="CU1775" s="584" t="s">
        <v>1892</v>
      </c>
      <c r="CV1775" s="585" t="s">
        <v>1893</v>
      </c>
    </row>
    <row r="1776" spans="91:100" x14ac:dyDescent="0.25">
      <c r="CM1776" s="582"/>
      <c r="CN1776" s="584" t="s">
        <v>5894</v>
      </c>
      <c r="CO1776" s="584" t="s">
        <v>1912</v>
      </c>
      <c r="CP1776" s="584" t="s">
        <v>2325</v>
      </c>
      <c r="CQ1776" s="584" t="s">
        <v>5895</v>
      </c>
      <c r="CR1776" s="584" t="s">
        <v>5895</v>
      </c>
      <c r="CS1776" s="584" t="s">
        <v>1890</v>
      </c>
      <c r="CT1776" s="584" t="s">
        <v>5816</v>
      </c>
      <c r="CU1776" s="584" t="s">
        <v>1892</v>
      </c>
      <c r="CV1776" s="585" t="s">
        <v>1893</v>
      </c>
    </row>
    <row r="1777" spans="91:100" x14ac:dyDescent="0.25">
      <c r="CM1777" s="582"/>
      <c r="CN1777" s="584" t="s">
        <v>5896</v>
      </c>
      <c r="CO1777" s="584" t="s">
        <v>1912</v>
      </c>
      <c r="CP1777" s="584" t="s">
        <v>2325</v>
      </c>
      <c r="CQ1777" s="584" t="s">
        <v>5897</v>
      </c>
      <c r="CR1777" s="584" t="s">
        <v>5897</v>
      </c>
      <c r="CS1777" s="584" t="s">
        <v>1890</v>
      </c>
      <c r="CT1777" s="584" t="s">
        <v>5816</v>
      </c>
      <c r="CU1777" s="584" t="s">
        <v>1892</v>
      </c>
      <c r="CV1777" s="585" t="s">
        <v>1893</v>
      </c>
    </row>
    <row r="1778" spans="91:100" x14ac:dyDescent="0.25">
      <c r="CM1778" s="582"/>
      <c r="CN1778" s="584" t="s">
        <v>5898</v>
      </c>
      <c r="CO1778" s="584" t="s">
        <v>1912</v>
      </c>
      <c r="CP1778" s="584" t="s">
        <v>2325</v>
      </c>
      <c r="CQ1778" s="584" t="s">
        <v>5899</v>
      </c>
      <c r="CR1778" s="584" t="s">
        <v>5899</v>
      </c>
      <c r="CS1778" s="584" t="s">
        <v>1890</v>
      </c>
      <c r="CT1778" s="584" t="s">
        <v>5816</v>
      </c>
      <c r="CU1778" s="584" t="s">
        <v>1892</v>
      </c>
      <c r="CV1778" s="585" t="s">
        <v>1893</v>
      </c>
    </row>
    <row r="1779" spans="91:100" x14ac:dyDescent="0.25">
      <c r="CM1779" s="582"/>
      <c r="CN1779" s="584" t="s">
        <v>5900</v>
      </c>
      <c r="CO1779" s="584" t="s">
        <v>1912</v>
      </c>
      <c r="CP1779" s="584" t="s">
        <v>2325</v>
      </c>
      <c r="CQ1779" s="584" t="s">
        <v>5901</v>
      </c>
      <c r="CR1779" s="584" t="s">
        <v>5901</v>
      </c>
      <c r="CS1779" s="584" t="s">
        <v>1890</v>
      </c>
      <c r="CT1779" s="584" t="s">
        <v>5816</v>
      </c>
      <c r="CU1779" s="584" t="s">
        <v>1892</v>
      </c>
      <c r="CV1779" s="585" t="s">
        <v>1893</v>
      </c>
    </row>
    <row r="1780" spans="91:100" x14ac:dyDescent="0.25">
      <c r="CM1780" s="582"/>
      <c r="CN1780" s="584" t="s">
        <v>5902</v>
      </c>
      <c r="CO1780" s="584" t="s">
        <v>1912</v>
      </c>
      <c r="CP1780" s="584" t="s">
        <v>2325</v>
      </c>
      <c r="CQ1780" s="584" t="s">
        <v>5903</v>
      </c>
      <c r="CR1780" s="584" t="s">
        <v>5903</v>
      </c>
      <c r="CS1780" s="584" t="s">
        <v>1890</v>
      </c>
      <c r="CT1780" s="584" t="s">
        <v>5816</v>
      </c>
      <c r="CU1780" s="584" t="s">
        <v>1892</v>
      </c>
      <c r="CV1780" s="585" t="s">
        <v>1893</v>
      </c>
    </row>
    <row r="1781" spans="91:100" x14ac:dyDescent="0.25">
      <c r="CM1781" s="582"/>
      <c r="CN1781" s="584" t="s">
        <v>5904</v>
      </c>
      <c r="CO1781" s="584" t="s">
        <v>1912</v>
      </c>
      <c r="CP1781" s="584" t="s">
        <v>2325</v>
      </c>
      <c r="CQ1781" s="584" t="s">
        <v>5073</v>
      </c>
      <c r="CR1781" s="584" t="s">
        <v>5073</v>
      </c>
      <c r="CS1781" s="584" t="s">
        <v>1890</v>
      </c>
      <c r="CT1781" s="584" t="s">
        <v>5816</v>
      </c>
      <c r="CU1781" s="584" t="s">
        <v>1892</v>
      </c>
      <c r="CV1781" s="585" t="s">
        <v>1893</v>
      </c>
    </row>
    <row r="1782" spans="91:100" x14ac:dyDescent="0.25">
      <c r="CM1782" s="582"/>
      <c r="CN1782" s="584" t="s">
        <v>5905</v>
      </c>
      <c r="CO1782" s="584" t="s">
        <v>1912</v>
      </c>
      <c r="CP1782" s="584" t="s">
        <v>2325</v>
      </c>
      <c r="CQ1782" s="584" t="s">
        <v>5906</v>
      </c>
      <c r="CR1782" s="584" t="s">
        <v>5907</v>
      </c>
      <c r="CS1782" s="584" t="s">
        <v>1890</v>
      </c>
      <c r="CT1782" s="584" t="s">
        <v>5816</v>
      </c>
      <c r="CU1782" s="584" t="s">
        <v>1892</v>
      </c>
      <c r="CV1782" s="585" t="s">
        <v>1893</v>
      </c>
    </row>
    <row r="1783" spans="91:100" ht="25.5" x14ac:dyDescent="0.25">
      <c r="CM1783" s="582"/>
      <c r="CN1783" s="584" t="s">
        <v>5908</v>
      </c>
      <c r="CO1783" s="584" t="s">
        <v>1912</v>
      </c>
      <c r="CP1783" s="584" t="s">
        <v>2325</v>
      </c>
      <c r="CQ1783" s="584" t="s">
        <v>5909</v>
      </c>
      <c r="CR1783" s="584" t="s">
        <v>5910</v>
      </c>
      <c r="CS1783" s="584" t="s">
        <v>5153</v>
      </c>
      <c r="CT1783" s="584" t="s">
        <v>5813</v>
      </c>
      <c r="CU1783" s="584" t="s">
        <v>2185</v>
      </c>
      <c r="CV1783" s="585" t="s">
        <v>5155</v>
      </c>
    </row>
    <row r="1784" spans="91:100" x14ac:dyDescent="0.25">
      <c r="CM1784" s="582"/>
      <c r="CN1784" s="584" t="s">
        <v>5911</v>
      </c>
      <c r="CO1784" s="584" t="s">
        <v>1912</v>
      </c>
      <c r="CP1784" s="584" t="s">
        <v>2325</v>
      </c>
      <c r="CQ1784" s="584" t="s">
        <v>5912</v>
      </c>
      <c r="CR1784" s="584" t="s">
        <v>5912</v>
      </c>
      <c r="CS1784" s="584" t="s">
        <v>1978</v>
      </c>
      <c r="CT1784" s="584" t="s">
        <v>2327</v>
      </c>
      <c r="CU1784" s="584" t="s">
        <v>1892</v>
      </c>
      <c r="CV1784" s="585" t="s">
        <v>1980</v>
      </c>
    </row>
    <row r="1785" spans="91:100" ht="25.5" x14ac:dyDescent="0.25">
      <c r="CM1785" s="582"/>
      <c r="CN1785" s="584" t="s">
        <v>5913</v>
      </c>
      <c r="CO1785" s="584" t="s">
        <v>1912</v>
      </c>
      <c r="CP1785" s="584" t="s">
        <v>2325</v>
      </c>
      <c r="CQ1785" s="584" t="s">
        <v>5914</v>
      </c>
      <c r="CR1785" s="584" t="s">
        <v>5914</v>
      </c>
      <c r="CS1785" s="584" t="s">
        <v>5153</v>
      </c>
      <c r="CT1785" s="584" t="s">
        <v>5813</v>
      </c>
      <c r="CU1785" s="584" t="s">
        <v>2185</v>
      </c>
      <c r="CV1785" s="585" t="s">
        <v>5155</v>
      </c>
    </row>
    <row r="1786" spans="91:100" ht="25.5" x14ac:dyDescent="0.25">
      <c r="CM1786" s="582"/>
      <c r="CN1786" s="584" t="s">
        <v>5915</v>
      </c>
      <c r="CO1786" s="584" t="s">
        <v>1912</v>
      </c>
      <c r="CP1786" s="584" t="s">
        <v>2325</v>
      </c>
      <c r="CQ1786" s="584" t="s">
        <v>5916</v>
      </c>
      <c r="CR1786" s="584" t="s">
        <v>5917</v>
      </c>
      <c r="CS1786" s="584" t="s">
        <v>5153</v>
      </c>
      <c r="CT1786" s="584" t="s">
        <v>5813</v>
      </c>
      <c r="CU1786" s="584" t="s">
        <v>2185</v>
      </c>
      <c r="CV1786" s="585" t="s">
        <v>5155</v>
      </c>
    </row>
    <row r="1787" spans="91:100" x14ac:dyDescent="0.25">
      <c r="CM1787" s="582"/>
      <c r="CN1787" s="584" t="s">
        <v>5918</v>
      </c>
      <c r="CO1787" s="584" t="s">
        <v>1912</v>
      </c>
      <c r="CP1787" s="584" t="s">
        <v>2325</v>
      </c>
      <c r="CQ1787" s="584" t="s">
        <v>5023</v>
      </c>
      <c r="CR1787" s="584" t="s">
        <v>5023</v>
      </c>
      <c r="CS1787" s="584" t="s">
        <v>1978</v>
      </c>
      <c r="CT1787" s="584" t="s">
        <v>2327</v>
      </c>
      <c r="CU1787" s="584" t="s">
        <v>1892</v>
      </c>
      <c r="CV1787" s="585" t="s">
        <v>1980</v>
      </c>
    </row>
    <row r="1788" spans="91:100" x14ac:dyDescent="0.25">
      <c r="CM1788" s="582"/>
      <c r="CN1788" s="584" t="s">
        <v>5919</v>
      </c>
      <c r="CO1788" s="584" t="s">
        <v>1912</v>
      </c>
      <c r="CP1788" s="584" t="s">
        <v>2325</v>
      </c>
      <c r="CQ1788" s="584" t="s">
        <v>5920</v>
      </c>
      <c r="CR1788" s="584" t="s">
        <v>5920</v>
      </c>
      <c r="CS1788" s="584" t="s">
        <v>1978</v>
      </c>
      <c r="CT1788" s="584" t="s">
        <v>2327</v>
      </c>
      <c r="CU1788" s="584" t="s">
        <v>1892</v>
      </c>
      <c r="CV1788" s="585" t="s">
        <v>1980</v>
      </c>
    </row>
    <row r="1789" spans="91:100" x14ac:dyDescent="0.25">
      <c r="CM1789" s="582"/>
      <c r="CN1789" s="584" t="s">
        <v>5921</v>
      </c>
      <c r="CO1789" s="584" t="s">
        <v>1912</v>
      </c>
      <c r="CP1789" s="584" t="s">
        <v>2325</v>
      </c>
      <c r="CQ1789" s="584" t="s">
        <v>5099</v>
      </c>
      <c r="CR1789" s="584" t="s">
        <v>5099</v>
      </c>
      <c r="CS1789" s="584" t="s">
        <v>1978</v>
      </c>
      <c r="CT1789" s="584" t="s">
        <v>2327</v>
      </c>
      <c r="CU1789" s="584" t="s">
        <v>1892</v>
      </c>
      <c r="CV1789" s="585" t="s">
        <v>1980</v>
      </c>
    </row>
    <row r="1790" spans="91:100" ht="25.5" x14ac:dyDescent="0.25">
      <c r="CM1790" s="582"/>
      <c r="CN1790" s="584" t="s">
        <v>5922</v>
      </c>
      <c r="CO1790" s="584" t="s">
        <v>1912</v>
      </c>
      <c r="CP1790" s="584" t="s">
        <v>2535</v>
      </c>
      <c r="CQ1790" s="584" t="s">
        <v>5923</v>
      </c>
      <c r="CR1790" s="584" t="s">
        <v>5923</v>
      </c>
      <c r="CS1790" s="584" t="s">
        <v>5153</v>
      </c>
      <c r="CT1790" s="584" t="s">
        <v>5924</v>
      </c>
      <c r="CU1790" s="584" t="s">
        <v>2185</v>
      </c>
      <c r="CV1790" s="585" t="s">
        <v>5155</v>
      </c>
    </row>
    <row r="1791" spans="91:100" ht="25.5" x14ac:dyDescent="0.25">
      <c r="CM1791" s="582"/>
      <c r="CN1791" s="584" t="s">
        <v>5925</v>
      </c>
      <c r="CO1791" s="584" t="s">
        <v>1912</v>
      </c>
      <c r="CP1791" s="584" t="s">
        <v>2535</v>
      </c>
      <c r="CQ1791" s="584" t="s">
        <v>5926</v>
      </c>
      <c r="CR1791" s="584" t="s">
        <v>5926</v>
      </c>
      <c r="CS1791" s="584" t="s">
        <v>5153</v>
      </c>
      <c r="CT1791" s="584" t="s">
        <v>5924</v>
      </c>
      <c r="CU1791" s="584" t="s">
        <v>2185</v>
      </c>
      <c r="CV1791" s="585" t="s">
        <v>5155</v>
      </c>
    </row>
    <row r="1792" spans="91:100" ht="25.5" x14ac:dyDescent="0.25">
      <c r="CM1792" s="582"/>
      <c r="CN1792" s="584" t="s">
        <v>5927</v>
      </c>
      <c r="CO1792" s="584" t="s">
        <v>1912</v>
      </c>
      <c r="CP1792" s="584" t="s">
        <v>2535</v>
      </c>
      <c r="CQ1792" s="584" t="s">
        <v>5172</v>
      </c>
      <c r="CR1792" s="584" t="s">
        <v>5172</v>
      </c>
      <c r="CS1792" s="584" t="s">
        <v>5153</v>
      </c>
      <c r="CT1792" s="584" t="s">
        <v>5924</v>
      </c>
      <c r="CU1792" s="584" t="s">
        <v>2185</v>
      </c>
      <c r="CV1792" s="585" t="s">
        <v>5155</v>
      </c>
    </row>
    <row r="1793" spans="91:100" x14ac:dyDescent="0.25">
      <c r="CM1793" s="582"/>
      <c r="CN1793" s="584" t="s">
        <v>5928</v>
      </c>
      <c r="CO1793" s="584" t="s">
        <v>1912</v>
      </c>
      <c r="CP1793" s="584" t="s">
        <v>2535</v>
      </c>
      <c r="CQ1793" s="584" t="s">
        <v>5929</v>
      </c>
      <c r="CR1793" s="584" t="s">
        <v>5929</v>
      </c>
      <c r="CS1793" s="584" t="s">
        <v>1890</v>
      </c>
      <c r="CT1793" s="584" t="s">
        <v>3008</v>
      </c>
      <c r="CU1793" s="584" t="s">
        <v>1892</v>
      </c>
      <c r="CV1793" s="585" t="s">
        <v>1893</v>
      </c>
    </row>
    <row r="1794" spans="91:100" x14ac:dyDescent="0.25">
      <c r="CM1794" s="582"/>
      <c r="CN1794" s="584" t="s">
        <v>5930</v>
      </c>
      <c r="CO1794" s="584" t="s">
        <v>1912</v>
      </c>
      <c r="CP1794" s="584" t="s">
        <v>2535</v>
      </c>
      <c r="CQ1794" s="584" t="s">
        <v>5931</v>
      </c>
      <c r="CR1794" s="584" t="s">
        <v>5932</v>
      </c>
      <c r="CS1794" s="584" t="s">
        <v>1890</v>
      </c>
      <c r="CT1794" s="584" t="s">
        <v>3008</v>
      </c>
      <c r="CU1794" s="584" t="s">
        <v>1892</v>
      </c>
      <c r="CV1794" s="585" t="s">
        <v>1893</v>
      </c>
    </row>
    <row r="1795" spans="91:100" x14ac:dyDescent="0.25">
      <c r="CM1795" s="582"/>
      <c r="CN1795" s="584" t="s">
        <v>5933</v>
      </c>
      <c r="CO1795" s="584" t="s">
        <v>1912</v>
      </c>
      <c r="CP1795" s="584" t="s">
        <v>2535</v>
      </c>
      <c r="CQ1795" s="584" t="s">
        <v>2536</v>
      </c>
      <c r="CR1795" s="584" t="s">
        <v>2536</v>
      </c>
      <c r="CS1795" s="584" t="s">
        <v>1890</v>
      </c>
      <c r="CT1795" s="584" t="s">
        <v>3008</v>
      </c>
      <c r="CU1795" s="584" t="s">
        <v>1892</v>
      </c>
      <c r="CV1795" s="585" t="s">
        <v>1893</v>
      </c>
    </row>
    <row r="1796" spans="91:100" x14ac:dyDescent="0.25">
      <c r="CM1796" s="582"/>
      <c r="CN1796" s="584" t="s">
        <v>5934</v>
      </c>
      <c r="CO1796" s="584" t="s">
        <v>1912</v>
      </c>
      <c r="CP1796" s="584" t="s">
        <v>2535</v>
      </c>
      <c r="CQ1796" s="584" t="s">
        <v>2032</v>
      </c>
      <c r="CR1796" s="584" t="s">
        <v>2032</v>
      </c>
      <c r="CS1796" s="584" t="s">
        <v>1890</v>
      </c>
      <c r="CT1796" s="584" t="s">
        <v>3008</v>
      </c>
      <c r="CU1796" s="584" t="s">
        <v>1892</v>
      </c>
      <c r="CV1796" s="585" t="s">
        <v>1893</v>
      </c>
    </row>
    <row r="1797" spans="91:100" x14ac:dyDescent="0.25">
      <c r="CM1797" s="582"/>
      <c r="CN1797" s="584" t="s">
        <v>5935</v>
      </c>
      <c r="CO1797" s="584" t="s">
        <v>1912</v>
      </c>
      <c r="CP1797" s="584" t="s">
        <v>2535</v>
      </c>
      <c r="CQ1797" s="584" t="s">
        <v>2541</v>
      </c>
      <c r="CR1797" s="584" t="s">
        <v>2541</v>
      </c>
      <c r="CS1797" s="584" t="s">
        <v>1978</v>
      </c>
      <c r="CT1797" s="584" t="s">
        <v>2542</v>
      </c>
      <c r="CU1797" s="584" t="s">
        <v>1892</v>
      </c>
      <c r="CV1797" s="585" t="s">
        <v>1980</v>
      </c>
    </row>
    <row r="1798" spans="91:100" x14ac:dyDescent="0.25">
      <c r="CM1798" s="582"/>
      <c r="CN1798" s="584" t="s">
        <v>5936</v>
      </c>
      <c r="CO1798" s="584" t="s">
        <v>1912</v>
      </c>
      <c r="CP1798" s="584" t="s">
        <v>2535</v>
      </c>
      <c r="CQ1798" s="584" t="s">
        <v>2544</v>
      </c>
      <c r="CR1798" s="584" t="s">
        <v>2544</v>
      </c>
      <c r="CS1798" s="584" t="s">
        <v>1978</v>
      </c>
      <c r="CT1798" s="584" t="s">
        <v>2542</v>
      </c>
      <c r="CU1798" s="584" t="s">
        <v>1892</v>
      </c>
      <c r="CV1798" s="585" t="s">
        <v>1980</v>
      </c>
    </row>
    <row r="1799" spans="91:100" ht="25.5" x14ac:dyDescent="0.25">
      <c r="CM1799" s="582"/>
      <c r="CN1799" s="584" t="s">
        <v>5937</v>
      </c>
      <c r="CO1799" s="584" t="s">
        <v>1912</v>
      </c>
      <c r="CP1799" s="584" t="s">
        <v>2535</v>
      </c>
      <c r="CQ1799" s="584" t="s">
        <v>2887</v>
      </c>
      <c r="CR1799" s="584" t="s">
        <v>2887</v>
      </c>
      <c r="CS1799" s="584" t="s">
        <v>5153</v>
      </c>
      <c r="CT1799" s="584" t="s">
        <v>5924</v>
      </c>
      <c r="CU1799" s="584" t="s">
        <v>2185</v>
      </c>
      <c r="CV1799" s="585" t="s">
        <v>5155</v>
      </c>
    </row>
    <row r="1800" spans="91:100" x14ac:dyDescent="0.25">
      <c r="CM1800" s="582"/>
      <c r="CN1800" s="584" t="s">
        <v>5938</v>
      </c>
      <c r="CO1800" s="584" t="s">
        <v>1912</v>
      </c>
      <c r="CP1800" s="584" t="s">
        <v>2535</v>
      </c>
      <c r="CQ1800" s="584" t="s">
        <v>2546</v>
      </c>
      <c r="CR1800" s="584" t="s">
        <v>2546</v>
      </c>
      <c r="CS1800" s="584" t="s">
        <v>1890</v>
      </c>
      <c r="CT1800" s="584" t="s">
        <v>3008</v>
      </c>
      <c r="CU1800" s="584" t="s">
        <v>1892</v>
      </c>
      <c r="CV1800" s="585" t="s">
        <v>1893</v>
      </c>
    </row>
    <row r="1801" spans="91:100" ht="25.5" x14ac:dyDescent="0.25">
      <c r="CM1801" s="582"/>
      <c r="CN1801" s="584" t="s">
        <v>5939</v>
      </c>
      <c r="CO1801" s="584" t="s">
        <v>1912</v>
      </c>
      <c r="CP1801" s="584" t="s">
        <v>2535</v>
      </c>
      <c r="CQ1801" s="584" t="s">
        <v>5940</v>
      </c>
      <c r="CR1801" s="584" t="s">
        <v>5940</v>
      </c>
      <c r="CS1801" s="584" t="s">
        <v>5153</v>
      </c>
      <c r="CT1801" s="584" t="s">
        <v>5924</v>
      </c>
      <c r="CU1801" s="584" t="s">
        <v>2185</v>
      </c>
      <c r="CV1801" s="585" t="s">
        <v>5155</v>
      </c>
    </row>
    <row r="1802" spans="91:100" ht="25.5" x14ac:dyDescent="0.25">
      <c r="CM1802" s="582"/>
      <c r="CN1802" s="584" t="s">
        <v>5941</v>
      </c>
      <c r="CO1802" s="584" t="s">
        <v>1912</v>
      </c>
      <c r="CP1802" s="584" t="s">
        <v>2535</v>
      </c>
      <c r="CQ1802" s="584" t="s">
        <v>5942</v>
      </c>
      <c r="CR1802" s="584" t="s">
        <v>5942</v>
      </c>
      <c r="CS1802" s="584" t="s">
        <v>5153</v>
      </c>
      <c r="CT1802" s="584" t="s">
        <v>5924</v>
      </c>
      <c r="CU1802" s="584" t="s">
        <v>2185</v>
      </c>
      <c r="CV1802" s="585" t="s">
        <v>5155</v>
      </c>
    </row>
    <row r="1803" spans="91:100" ht="25.5" x14ac:dyDescent="0.25">
      <c r="CM1803" s="582"/>
      <c r="CN1803" s="584" t="s">
        <v>5943</v>
      </c>
      <c r="CO1803" s="584" t="s">
        <v>1912</v>
      </c>
      <c r="CP1803" s="584" t="s">
        <v>2535</v>
      </c>
      <c r="CQ1803" s="584" t="s">
        <v>5944</v>
      </c>
      <c r="CR1803" s="584" t="s">
        <v>5944</v>
      </c>
      <c r="CS1803" s="584" t="s">
        <v>5153</v>
      </c>
      <c r="CT1803" s="584" t="s">
        <v>5924</v>
      </c>
      <c r="CU1803" s="584" t="s">
        <v>2185</v>
      </c>
      <c r="CV1803" s="585" t="s">
        <v>5155</v>
      </c>
    </row>
    <row r="1804" spans="91:100" x14ac:dyDescent="0.25">
      <c r="CM1804" s="582"/>
      <c r="CN1804" s="584" t="s">
        <v>5945</v>
      </c>
      <c r="CO1804" s="584" t="s">
        <v>1912</v>
      </c>
      <c r="CP1804" s="584" t="s">
        <v>2535</v>
      </c>
      <c r="CQ1804" s="584" t="s">
        <v>5946</v>
      </c>
      <c r="CR1804" s="584" t="s">
        <v>5947</v>
      </c>
      <c r="CS1804" s="584" t="s">
        <v>1890</v>
      </c>
      <c r="CT1804" s="584" t="s">
        <v>3008</v>
      </c>
      <c r="CU1804" s="584" t="s">
        <v>1892</v>
      </c>
      <c r="CV1804" s="585" t="s">
        <v>1893</v>
      </c>
    </row>
    <row r="1805" spans="91:100" x14ac:dyDescent="0.25">
      <c r="CM1805" s="582"/>
      <c r="CN1805" s="584" t="s">
        <v>5948</v>
      </c>
      <c r="CO1805" s="584" t="s">
        <v>1912</v>
      </c>
      <c r="CP1805" s="584" t="s">
        <v>2535</v>
      </c>
      <c r="CQ1805" s="584" t="s">
        <v>2548</v>
      </c>
      <c r="CR1805" s="584" t="s">
        <v>2548</v>
      </c>
      <c r="CS1805" s="584" t="s">
        <v>1890</v>
      </c>
      <c r="CT1805" s="584" t="s">
        <v>3008</v>
      </c>
      <c r="CU1805" s="584" t="s">
        <v>1892</v>
      </c>
      <c r="CV1805" s="585" t="s">
        <v>1893</v>
      </c>
    </row>
    <row r="1806" spans="91:100" ht="25.5" x14ac:dyDescent="0.25">
      <c r="CM1806" s="582"/>
      <c r="CN1806" s="584" t="s">
        <v>5949</v>
      </c>
      <c r="CO1806" s="584" t="s">
        <v>1912</v>
      </c>
      <c r="CP1806" s="584" t="s">
        <v>2535</v>
      </c>
      <c r="CQ1806" s="584" t="s">
        <v>2889</v>
      </c>
      <c r="CR1806" s="584" t="s">
        <v>2890</v>
      </c>
      <c r="CS1806" s="584" t="s">
        <v>5153</v>
      </c>
      <c r="CT1806" s="584" t="s">
        <v>5924</v>
      </c>
      <c r="CU1806" s="584" t="s">
        <v>2185</v>
      </c>
      <c r="CV1806" s="585" t="s">
        <v>5155</v>
      </c>
    </row>
    <row r="1807" spans="91:100" ht="25.5" x14ac:dyDescent="0.25">
      <c r="CM1807" s="582"/>
      <c r="CN1807" s="584" t="s">
        <v>5950</v>
      </c>
      <c r="CO1807" s="584" t="s">
        <v>1912</v>
      </c>
      <c r="CP1807" s="584" t="s">
        <v>2535</v>
      </c>
      <c r="CQ1807" s="584" t="s">
        <v>2892</v>
      </c>
      <c r="CR1807" s="584" t="s">
        <v>2893</v>
      </c>
      <c r="CS1807" s="584" t="s">
        <v>5153</v>
      </c>
      <c r="CT1807" s="584" t="s">
        <v>5924</v>
      </c>
      <c r="CU1807" s="584" t="s">
        <v>2185</v>
      </c>
      <c r="CV1807" s="585" t="s">
        <v>5155</v>
      </c>
    </row>
    <row r="1808" spans="91:100" ht="25.5" x14ac:dyDescent="0.25">
      <c r="CM1808" s="582"/>
      <c r="CN1808" s="584" t="s">
        <v>5951</v>
      </c>
      <c r="CO1808" s="584" t="s">
        <v>1912</v>
      </c>
      <c r="CP1808" s="584" t="s">
        <v>2535</v>
      </c>
      <c r="CQ1808" s="584" t="s">
        <v>2895</v>
      </c>
      <c r="CR1808" s="584" t="s">
        <v>2896</v>
      </c>
      <c r="CS1808" s="584" t="s">
        <v>5153</v>
      </c>
      <c r="CT1808" s="584" t="s">
        <v>5924</v>
      </c>
      <c r="CU1808" s="584" t="s">
        <v>2185</v>
      </c>
      <c r="CV1808" s="585" t="s">
        <v>5155</v>
      </c>
    </row>
    <row r="1809" spans="91:100" ht="25.5" x14ac:dyDescent="0.25">
      <c r="CM1809" s="582"/>
      <c r="CN1809" s="584" t="s">
        <v>5952</v>
      </c>
      <c r="CO1809" s="584" t="s">
        <v>1912</v>
      </c>
      <c r="CP1809" s="584" t="s">
        <v>2535</v>
      </c>
      <c r="CQ1809" s="584" t="s">
        <v>5348</v>
      </c>
      <c r="CR1809" s="584" t="s">
        <v>5349</v>
      </c>
      <c r="CS1809" s="584" t="s">
        <v>5153</v>
      </c>
      <c r="CT1809" s="584" t="s">
        <v>5924</v>
      </c>
      <c r="CU1809" s="584" t="s">
        <v>2185</v>
      </c>
      <c r="CV1809" s="585" t="s">
        <v>5155</v>
      </c>
    </row>
    <row r="1810" spans="91:100" x14ac:dyDescent="0.25">
      <c r="CM1810" s="582"/>
      <c r="CN1810" s="584" t="s">
        <v>5953</v>
      </c>
      <c r="CO1810" s="584" t="s">
        <v>1912</v>
      </c>
      <c r="CP1810" s="584" t="s">
        <v>2535</v>
      </c>
      <c r="CQ1810" s="584" t="s">
        <v>5954</v>
      </c>
      <c r="CR1810" s="584" t="s">
        <v>5955</v>
      </c>
      <c r="CS1810" s="584" t="s">
        <v>1890</v>
      </c>
      <c r="CT1810" s="584" t="s">
        <v>3008</v>
      </c>
      <c r="CU1810" s="584" t="s">
        <v>1892</v>
      </c>
      <c r="CV1810" s="585" t="s">
        <v>1893</v>
      </c>
    </row>
    <row r="1811" spans="91:100" ht="25.5" x14ac:dyDescent="0.25">
      <c r="CM1811" s="582"/>
      <c r="CN1811" s="584" t="s">
        <v>5956</v>
      </c>
      <c r="CO1811" s="584" t="s">
        <v>1912</v>
      </c>
      <c r="CP1811" s="584" t="s">
        <v>2535</v>
      </c>
      <c r="CQ1811" s="584" t="s">
        <v>5957</v>
      </c>
      <c r="CR1811" s="584" t="s">
        <v>5958</v>
      </c>
      <c r="CS1811" s="584" t="s">
        <v>5153</v>
      </c>
      <c r="CT1811" s="584" t="s">
        <v>5924</v>
      </c>
      <c r="CU1811" s="584" t="s">
        <v>2185</v>
      </c>
      <c r="CV1811" s="585" t="s">
        <v>5155</v>
      </c>
    </row>
    <row r="1812" spans="91:100" ht="25.5" x14ac:dyDescent="0.25">
      <c r="CM1812" s="582"/>
      <c r="CN1812" s="584" t="s">
        <v>5959</v>
      </c>
      <c r="CO1812" s="584" t="s">
        <v>1912</v>
      </c>
      <c r="CP1812" s="584" t="s">
        <v>2535</v>
      </c>
      <c r="CQ1812" s="584" t="s">
        <v>5960</v>
      </c>
      <c r="CR1812" s="584" t="s">
        <v>5961</v>
      </c>
      <c r="CS1812" s="584" t="s">
        <v>5153</v>
      </c>
      <c r="CT1812" s="584" t="s">
        <v>5924</v>
      </c>
      <c r="CU1812" s="584" t="s">
        <v>2185</v>
      </c>
      <c r="CV1812" s="585" t="s">
        <v>5155</v>
      </c>
    </row>
    <row r="1813" spans="91:100" ht="25.5" x14ac:dyDescent="0.25">
      <c r="CM1813" s="582"/>
      <c r="CN1813" s="584" t="s">
        <v>5962</v>
      </c>
      <c r="CO1813" s="584" t="s">
        <v>1912</v>
      </c>
      <c r="CP1813" s="584" t="s">
        <v>2535</v>
      </c>
      <c r="CQ1813" s="584" t="s">
        <v>2901</v>
      </c>
      <c r="CR1813" s="584" t="s">
        <v>2902</v>
      </c>
      <c r="CS1813" s="584" t="s">
        <v>5153</v>
      </c>
      <c r="CT1813" s="584" t="s">
        <v>5924</v>
      </c>
      <c r="CU1813" s="584" t="s">
        <v>2185</v>
      </c>
      <c r="CV1813" s="585" t="s">
        <v>5155</v>
      </c>
    </row>
    <row r="1814" spans="91:100" ht="25.5" x14ac:dyDescent="0.25">
      <c r="CM1814" s="582"/>
      <c r="CN1814" s="584" t="s">
        <v>5963</v>
      </c>
      <c r="CO1814" s="584" t="s">
        <v>1912</v>
      </c>
      <c r="CP1814" s="584" t="s">
        <v>2535</v>
      </c>
      <c r="CQ1814" s="584" t="s">
        <v>2073</v>
      </c>
      <c r="CR1814" s="584" t="s">
        <v>2073</v>
      </c>
      <c r="CS1814" s="584" t="s">
        <v>5153</v>
      </c>
      <c r="CT1814" s="584" t="s">
        <v>5924</v>
      </c>
      <c r="CU1814" s="584" t="s">
        <v>2185</v>
      </c>
      <c r="CV1814" s="585" t="s">
        <v>5155</v>
      </c>
    </row>
    <row r="1815" spans="91:100" ht="25.5" x14ac:dyDescent="0.25">
      <c r="CM1815" s="582"/>
      <c r="CN1815" s="584" t="s">
        <v>5964</v>
      </c>
      <c r="CO1815" s="584" t="s">
        <v>1912</v>
      </c>
      <c r="CP1815" s="584" t="s">
        <v>2535</v>
      </c>
      <c r="CQ1815" s="584" t="s">
        <v>5965</v>
      </c>
      <c r="CR1815" s="584" t="s">
        <v>5966</v>
      </c>
      <c r="CS1815" s="584" t="s">
        <v>5153</v>
      </c>
      <c r="CT1815" s="584" t="s">
        <v>5924</v>
      </c>
      <c r="CU1815" s="584" t="s">
        <v>2185</v>
      </c>
      <c r="CV1815" s="585" t="s">
        <v>5155</v>
      </c>
    </row>
    <row r="1816" spans="91:100" ht="25.5" x14ac:dyDescent="0.25">
      <c r="CM1816" s="582"/>
      <c r="CN1816" s="584" t="s">
        <v>5967</v>
      </c>
      <c r="CO1816" s="584" t="s">
        <v>1912</v>
      </c>
      <c r="CP1816" s="584" t="s">
        <v>2535</v>
      </c>
      <c r="CQ1816" s="584" t="s">
        <v>5968</v>
      </c>
      <c r="CR1816" s="584" t="s">
        <v>5968</v>
      </c>
      <c r="CS1816" s="584" t="s">
        <v>5153</v>
      </c>
      <c r="CT1816" s="584" t="s">
        <v>5924</v>
      </c>
      <c r="CU1816" s="584" t="s">
        <v>2185</v>
      </c>
      <c r="CV1816" s="585" t="s">
        <v>5155</v>
      </c>
    </row>
    <row r="1817" spans="91:100" x14ac:dyDescent="0.25">
      <c r="CM1817" s="582"/>
      <c r="CN1817" s="584" t="s">
        <v>5969</v>
      </c>
      <c r="CO1817" s="584" t="s">
        <v>1912</v>
      </c>
      <c r="CP1817" s="584" t="s">
        <v>2535</v>
      </c>
      <c r="CQ1817" s="584" t="s">
        <v>5970</v>
      </c>
      <c r="CR1817" s="584" t="s">
        <v>5970</v>
      </c>
      <c r="CS1817" s="584" t="s">
        <v>1890</v>
      </c>
      <c r="CT1817" s="584" t="s">
        <v>3008</v>
      </c>
      <c r="CU1817" s="584" t="s">
        <v>1892</v>
      </c>
      <c r="CV1817" s="585" t="s">
        <v>1893</v>
      </c>
    </row>
    <row r="1818" spans="91:100" ht="25.5" x14ac:dyDescent="0.25">
      <c r="CM1818" s="582"/>
      <c r="CN1818" s="584" t="s">
        <v>5971</v>
      </c>
      <c r="CO1818" s="584" t="s">
        <v>1912</v>
      </c>
      <c r="CP1818" s="584" t="s">
        <v>2535</v>
      </c>
      <c r="CQ1818" s="584" t="s">
        <v>5972</v>
      </c>
      <c r="CR1818" s="584" t="s">
        <v>5973</v>
      </c>
      <c r="CS1818" s="584" t="s">
        <v>5153</v>
      </c>
      <c r="CT1818" s="584" t="s">
        <v>5924</v>
      </c>
      <c r="CU1818" s="584" t="s">
        <v>2185</v>
      </c>
      <c r="CV1818" s="585" t="s">
        <v>5155</v>
      </c>
    </row>
    <row r="1819" spans="91:100" ht="25.5" x14ac:dyDescent="0.25">
      <c r="CM1819" s="582"/>
      <c r="CN1819" s="584" t="s">
        <v>5974</v>
      </c>
      <c r="CO1819" s="584" t="s">
        <v>1912</v>
      </c>
      <c r="CP1819" s="584" t="s">
        <v>2535</v>
      </c>
      <c r="CQ1819" s="584" t="s">
        <v>5975</v>
      </c>
      <c r="CR1819" s="584" t="s">
        <v>5975</v>
      </c>
      <c r="CS1819" s="584" t="s">
        <v>5153</v>
      </c>
      <c r="CT1819" s="584" t="s">
        <v>5924</v>
      </c>
      <c r="CU1819" s="584" t="s">
        <v>2185</v>
      </c>
      <c r="CV1819" s="585" t="s">
        <v>5155</v>
      </c>
    </row>
    <row r="1820" spans="91:100" ht="25.5" x14ac:dyDescent="0.25">
      <c r="CM1820" s="582"/>
      <c r="CN1820" s="584" t="s">
        <v>5976</v>
      </c>
      <c r="CO1820" s="584" t="s">
        <v>1912</v>
      </c>
      <c r="CP1820" s="584" t="s">
        <v>2535</v>
      </c>
      <c r="CQ1820" s="584" t="s">
        <v>2922</v>
      </c>
      <c r="CR1820" s="584" t="s">
        <v>2922</v>
      </c>
      <c r="CS1820" s="584" t="s">
        <v>5153</v>
      </c>
      <c r="CT1820" s="584" t="s">
        <v>5924</v>
      </c>
      <c r="CU1820" s="584" t="s">
        <v>2185</v>
      </c>
      <c r="CV1820" s="585" t="s">
        <v>5155</v>
      </c>
    </row>
    <row r="1821" spans="91:100" ht="25.5" x14ac:dyDescent="0.25">
      <c r="CM1821" s="582"/>
      <c r="CN1821" s="584" t="s">
        <v>5977</v>
      </c>
      <c r="CO1821" s="584" t="s">
        <v>1912</v>
      </c>
      <c r="CP1821" s="584" t="s">
        <v>2535</v>
      </c>
      <c r="CQ1821" s="584" t="s">
        <v>5978</v>
      </c>
      <c r="CR1821" s="584" t="s">
        <v>5979</v>
      </c>
      <c r="CS1821" s="584" t="s">
        <v>5153</v>
      </c>
      <c r="CT1821" s="584" t="s">
        <v>5924</v>
      </c>
      <c r="CU1821" s="584" t="s">
        <v>2185</v>
      </c>
      <c r="CV1821" s="585" t="s">
        <v>5155</v>
      </c>
    </row>
    <row r="1822" spans="91:100" ht="25.5" x14ac:dyDescent="0.25">
      <c r="CM1822" s="582"/>
      <c r="CN1822" s="584" t="s">
        <v>5980</v>
      </c>
      <c r="CO1822" s="584" t="s">
        <v>1912</v>
      </c>
      <c r="CP1822" s="584" t="s">
        <v>2535</v>
      </c>
      <c r="CQ1822" s="584" t="s">
        <v>5981</v>
      </c>
      <c r="CR1822" s="584" t="s">
        <v>5981</v>
      </c>
      <c r="CS1822" s="584" t="s">
        <v>5153</v>
      </c>
      <c r="CT1822" s="584" t="s">
        <v>5924</v>
      </c>
      <c r="CU1822" s="584" t="s">
        <v>2185</v>
      </c>
      <c r="CV1822" s="585" t="s">
        <v>5155</v>
      </c>
    </row>
    <row r="1823" spans="91:100" ht="25.5" x14ac:dyDescent="0.25">
      <c r="CM1823" s="582"/>
      <c r="CN1823" s="584" t="s">
        <v>5982</v>
      </c>
      <c r="CO1823" s="584" t="s">
        <v>1912</v>
      </c>
      <c r="CP1823" s="584" t="s">
        <v>2535</v>
      </c>
      <c r="CQ1823" s="584" t="s">
        <v>5983</v>
      </c>
      <c r="CR1823" s="584" t="s">
        <v>5983</v>
      </c>
      <c r="CS1823" s="584" t="s">
        <v>5153</v>
      </c>
      <c r="CT1823" s="584" t="s">
        <v>5924</v>
      </c>
      <c r="CU1823" s="584" t="s">
        <v>2185</v>
      </c>
      <c r="CV1823" s="585" t="s">
        <v>5155</v>
      </c>
    </row>
    <row r="1824" spans="91:100" ht="25.5" x14ac:dyDescent="0.25">
      <c r="CM1824" s="582"/>
      <c r="CN1824" s="584" t="s">
        <v>5984</v>
      </c>
      <c r="CO1824" s="584" t="s">
        <v>1912</v>
      </c>
      <c r="CP1824" s="584" t="s">
        <v>2535</v>
      </c>
      <c r="CQ1824" s="584" t="s">
        <v>5441</v>
      </c>
      <c r="CR1824" s="584" t="s">
        <v>5441</v>
      </c>
      <c r="CS1824" s="584" t="s">
        <v>5153</v>
      </c>
      <c r="CT1824" s="584" t="s">
        <v>5924</v>
      </c>
      <c r="CU1824" s="584" t="s">
        <v>2185</v>
      </c>
      <c r="CV1824" s="585" t="s">
        <v>5155</v>
      </c>
    </row>
    <row r="1825" spans="91:100" x14ac:dyDescent="0.25">
      <c r="CM1825" s="582"/>
      <c r="CN1825" s="584" t="s">
        <v>5985</v>
      </c>
      <c r="CO1825" s="584" t="s">
        <v>1912</v>
      </c>
      <c r="CP1825" s="584" t="s">
        <v>2535</v>
      </c>
      <c r="CQ1825" s="584" t="s">
        <v>3026</v>
      </c>
      <c r="CR1825" s="584" t="s">
        <v>3026</v>
      </c>
      <c r="CS1825" s="584" t="s">
        <v>1890</v>
      </c>
      <c r="CT1825" s="584" t="s">
        <v>3008</v>
      </c>
      <c r="CU1825" s="584" t="s">
        <v>1892</v>
      </c>
      <c r="CV1825" s="585" t="s">
        <v>1893</v>
      </c>
    </row>
    <row r="1826" spans="91:100" ht="25.5" x14ac:dyDescent="0.25">
      <c r="CM1826" s="582"/>
      <c r="CN1826" s="584" t="s">
        <v>5986</v>
      </c>
      <c r="CO1826" s="584" t="s">
        <v>1912</v>
      </c>
      <c r="CP1826" s="584" t="s">
        <v>2535</v>
      </c>
      <c r="CQ1826" s="584" t="s">
        <v>5987</v>
      </c>
      <c r="CR1826" s="584" t="s">
        <v>5987</v>
      </c>
      <c r="CS1826" s="584" t="s">
        <v>5153</v>
      </c>
      <c r="CT1826" s="584" t="s">
        <v>5924</v>
      </c>
      <c r="CU1826" s="584" t="s">
        <v>2185</v>
      </c>
      <c r="CV1826" s="585" t="s">
        <v>5155</v>
      </c>
    </row>
    <row r="1827" spans="91:100" ht="25.5" x14ac:dyDescent="0.25">
      <c r="CM1827" s="582"/>
      <c r="CN1827" s="584" t="s">
        <v>5988</v>
      </c>
      <c r="CO1827" s="584" t="s">
        <v>1912</v>
      </c>
      <c r="CP1827" s="584" t="s">
        <v>2535</v>
      </c>
      <c r="CQ1827" s="584" t="s">
        <v>5989</v>
      </c>
      <c r="CR1827" s="584" t="s">
        <v>5989</v>
      </c>
      <c r="CS1827" s="584" t="s">
        <v>5153</v>
      </c>
      <c r="CT1827" s="584" t="s">
        <v>5924</v>
      </c>
      <c r="CU1827" s="584" t="s">
        <v>2185</v>
      </c>
      <c r="CV1827" s="585" t="s">
        <v>5155</v>
      </c>
    </row>
    <row r="1828" spans="91:100" x14ac:dyDescent="0.25">
      <c r="CM1828" s="582"/>
      <c r="CN1828" s="584" t="s">
        <v>5990</v>
      </c>
      <c r="CO1828" s="584" t="s">
        <v>1912</v>
      </c>
      <c r="CP1828" s="584" t="s">
        <v>2535</v>
      </c>
      <c r="CQ1828" s="584" t="s">
        <v>5991</v>
      </c>
      <c r="CR1828" s="584" t="s">
        <v>5991</v>
      </c>
      <c r="CS1828" s="584" t="s">
        <v>1890</v>
      </c>
      <c r="CT1828" s="584" t="s">
        <v>3008</v>
      </c>
      <c r="CU1828" s="584" t="s">
        <v>1892</v>
      </c>
      <c r="CV1828" s="585" t="s">
        <v>1893</v>
      </c>
    </row>
    <row r="1829" spans="91:100" ht="25.5" x14ac:dyDescent="0.25">
      <c r="CM1829" s="582"/>
      <c r="CN1829" s="584" t="s">
        <v>5992</v>
      </c>
      <c r="CO1829" s="584" t="s">
        <v>1912</v>
      </c>
      <c r="CP1829" s="584" t="s">
        <v>2535</v>
      </c>
      <c r="CQ1829" s="584" t="s">
        <v>5993</v>
      </c>
      <c r="CR1829" s="584" t="s">
        <v>5993</v>
      </c>
      <c r="CS1829" s="584" t="s">
        <v>5153</v>
      </c>
      <c r="CT1829" s="584" t="s">
        <v>5924</v>
      </c>
      <c r="CU1829" s="584" t="s">
        <v>2185</v>
      </c>
      <c r="CV1829" s="585" t="s">
        <v>5155</v>
      </c>
    </row>
    <row r="1830" spans="91:100" ht="25.5" x14ac:dyDescent="0.25">
      <c r="CM1830" s="582"/>
      <c r="CN1830" s="584" t="s">
        <v>5994</v>
      </c>
      <c r="CO1830" s="584" t="s">
        <v>1912</v>
      </c>
      <c r="CP1830" s="584" t="s">
        <v>2535</v>
      </c>
      <c r="CQ1830" s="584" t="s">
        <v>5995</v>
      </c>
      <c r="CR1830" s="584" t="s">
        <v>5995</v>
      </c>
      <c r="CS1830" s="584" t="s">
        <v>5153</v>
      </c>
      <c r="CT1830" s="584" t="s">
        <v>5924</v>
      </c>
      <c r="CU1830" s="584" t="s">
        <v>2185</v>
      </c>
      <c r="CV1830" s="585" t="s">
        <v>5155</v>
      </c>
    </row>
    <row r="1831" spans="91:100" x14ac:dyDescent="0.25">
      <c r="CM1831" s="582"/>
      <c r="CN1831" s="584" t="s">
        <v>5996</v>
      </c>
      <c r="CO1831" s="584" t="s">
        <v>1912</v>
      </c>
      <c r="CP1831" s="584" t="s">
        <v>2535</v>
      </c>
      <c r="CQ1831" s="584" t="s">
        <v>5997</v>
      </c>
      <c r="CR1831" s="584" t="s">
        <v>5997</v>
      </c>
      <c r="CS1831" s="584" t="s">
        <v>1890</v>
      </c>
      <c r="CT1831" s="584" t="s">
        <v>3008</v>
      </c>
      <c r="CU1831" s="584" t="s">
        <v>1892</v>
      </c>
      <c r="CV1831" s="585" t="s">
        <v>1893</v>
      </c>
    </row>
    <row r="1832" spans="91:100" ht="25.5" x14ac:dyDescent="0.25">
      <c r="CM1832" s="582"/>
      <c r="CN1832" s="584" t="s">
        <v>5998</v>
      </c>
      <c r="CO1832" s="584" t="s">
        <v>1912</v>
      </c>
      <c r="CP1832" s="584" t="s">
        <v>2535</v>
      </c>
      <c r="CQ1832" s="584" t="s">
        <v>5999</v>
      </c>
      <c r="CR1832" s="584" t="s">
        <v>6000</v>
      </c>
      <c r="CS1832" s="584" t="s">
        <v>5153</v>
      </c>
      <c r="CT1832" s="584" t="s">
        <v>5924</v>
      </c>
      <c r="CU1832" s="584" t="s">
        <v>2185</v>
      </c>
      <c r="CV1832" s="585" t="s">
        <v>5155</v>
      </c>
    </row>
    <row r="1833" spans="91:100" x14ac:dyDescent="0.25">
      <c r="CM1833" s="582"/>
      <c r="CN1833" s="584" t="s">
        <v>6001</v>
      </c>
      <c r="CO1833" s="584" t="s">
        <v>1912</v>
      </c>
      <c r="CP1833" s="584" t="s">
        <v>2535</v>
      </c>
      <c r="CQ1833" s="584" t="s">
        <v>2063</v>
      </c>
      <c r="CR1833" s="584" t="s">
        <v>2063</v>
      </c>
      <c r="CS1833" s="584" t="s">
        <v>1890</v>
      </c>
      <c r="CT1833" s="584" t="s">
        <v>3008</v>
      </c>
      <c r="CU1833" s="584" t="s">
        <v>1892</v>
      </c>
      <c r="CV1833" s="585" t="s">
        <v>1893</v>
      </c>
    </row>
    <row r="1834" spans="91:100" x14ac:dyDescent="0.25">
      <c r="CM1834" s="582"/>
      <c r="CN1834" s="584" t="s">
        <v>6002</v>
      </c>
      <c r="CO1834" s="584" t="s">
        <v>1912</v>
      </c>
      <c r="CP1834" s="584" t="s">
        <v>2535</v>
      </c>
      <c r="CQ1834" s="584" t="s">
        <v>3028</v>
      </c>
      <c r="CR1834" s="584" t="s">
        <v>3028</v>
      </c>
      <c r="CS1834" s="584" t="s">
        <v>1890</v>
      </c>
      <c r="CT1834" s="584" t="s">
        <v>3008</v>
      </c>
      <c r="CU1834" s="584" t="s">
        <v>1892</v>
      </c>
      <c r="CV1834" s="585" t="s">
        <v>1893</v>
      </c>
    </row>
    <row r="1835" spans="91:100" ht="25.5" x14ac:dyDescent="0.25">
      <c r="CM1835" s="582"/>
      <c r="CN1835" s="584" t="s">
        <v>6003</v>
      </c>
      <c r="CO1835" s="584" t="s">
        <v>1912</v>
      </c>
      <c r="CP1835" s="584" t="s">
        <v>2535</v>
      </c>
      <c r="CQ1835" s="584" t="s">
        <v>6004</v>
      </c>
      <c r="CR1835" s="584" t="s">
        <v>6004</v>
      </c>
      <c r="CS1835" s="584" t="s">
        <v>5153</v>
      </c>
      <c r="CT1835" s="584" t="s">
        <v>5924</v>
      </c>
      <c r="CU1835" s="584" t="s">
        <v>2185</v>
      </c>
      <c r="CV1835" s="585" t="s">
        <v>5155</v>
      </c>
    </row>
    <row r="1836" spans="91:100" ht="25.5" x14ac:dyDescent="0.25">
      <c r="CM1836" s="582"/>
      <c r="CN1836" s="584" t="s">
        <v>6005</v>
      </c>
      <c r="CO1836" s="584" t="s">
        <v>1912</v>
      </c>
      <c r="CP1836" s="584" t="s">
        <v>2535</v>
      </c>
      <c r="CQ1836" s="584" t="s">
        <v>6006</v>
      </c>
      <c r="CR1836" s="584" t="s">
        <v>6006</v>
      </c>
      <c r="CS1836" s="584" t="s">
        <v>5153</v>
      </c>
      <c r="CT1836" s="584" t="s">
        <v>5924</v>
      </c>
      <c r="CU1836" s="584" t="s">
        <v>2185</v>
      </c>
      <c r="CV1836" s="585" t="s">
        <v>5155</v>
      </c>
    </row>
    <row r="1837" spans="91:100" x14ac:dyDescent="0.25">
      <c r="CM1837" s="582"/>
      <c r="CN1837" s="584" t="s">
        <v>6007</v>
      </c>
      <c r="CO1837" s="584" t="s">
        <v>1912</v>
      </c>
      <c r="CP1837" s="584" t="s">
        <v>2535</v>
      </c>
      <c r="CQ1837" s="584" t="s">
        <v>6008</v>
      </c>
      <c r="CR1837" s="584" t="s">
        <v>6008</v>
      </c>
      <c r="CS1837" s="584" t="s">
        <v>1890</v>
      </c>
      <c r="CT1837" s="584" t="s">
        <v>3008</v>
      </c>
      <c r="CU1837" s="584" t="s">
        <v>1892</v>
      </c>
      <c r="CV1837" s="585" t="s">
        <v>1893</v>
      </c>
    </row>
    <row r="1838" spans="91:100" x14ac:dyDescent="0.25">
      <c r="CM1838" s="582"/>
      <c r="CN1838" s="584" t="s">
        <v>6009</v>
      </c>
      <c r="CO1838" s="584" t="s">
        <v>1912</v>
      </c>
      <c r="CP1838" s="584" t="s">
        <v>2535</v>
      </c>
      <c r="CQ1838" s="584" t="s">
        <v>6010</v>
      </c>
      <c r="CR1838" s="584" t="s">
        <v>6010</v>
      </c>
      <c r="CS1838" s="584" t="s">
        <v>1890</v>
      </c>
      <c r="CT1838" s="584" t="s">
        <v>3008</v>
      </c>
      <c r="CU1838" s="584" t="s">
        <v>1892</v>
      </c>
      <c r="CV1838" s="585" t="s">
        <v>1893</v>
      </c>
    </row>
    <row r="1839" spans="91:100" ht="25.5" x14ac:dyDescent="0.25">
      <c r="CM1839" s="582"/>
      <c r="CN1839" s="584" t="s">
        <v>6011</v>
      </c>
      <c r="CO1839" s="584" t="s">
        <v>1912</v>
      </c>
      <c r="CP1839" s="584" t="s">
        <v>2535</v>
      </c>
      <c r="CQ1839" s="584" t="s">
        <v>6012</v>
      </c>
      <c r="CR1839" s="584" t="s">
        <v>6013</v>
      </c>
      <c r="CS1839" s="584" t="s">
        <v>5153</v>
      </c>
      <c r="CT1839" s="584" t="s">
        <v>5924</v>
      </c>
      <c r="CU1839" s="584" t="s">
        <v>2185</v>
      </c>
      <c r="CV1839" s="585" t="s">
        <v>5155</v>
      </c>
    </row>
    <row r="1840" spans="91:100" x14ac:dyDescent="0.25">
      <c r="CM1840" s="582"/>
      <c r="CN1840" s="584" t="s">
        <v>6014</v>
      </c>
      <c r="CO1840" s="584" t="s">
        <v>1912</v>
      </c>
      <c r="CP1840" s="584" t="s">
        <v>2535</v>
      </c>
      <c r="CQ1840" s="584" t="s">
        <v>6015</v>
      </c>
      <c r="CR1840" s="584" t="s">
        <v>6015</v>
      </c>
      <c r="CS1840" s="584" t="s">
        <v>1978</v>
      </c>
      <c r="CT1840" s="584" t="s">
        <v>2542</v>
      </c>
      <c r="CU1840" s="584" t="s">
        <v>1892</v>
      </c>
      <c r="CV1840" s="585" t="s">
        <v>1980</v>
      </c>
    </row>
    <row r="1841" spans="91:100" x14ac:dyDescent="0.25">
      <c r="CM1841" s="582"/>
      <c r="CN1841" s="584" t="s">
        <v>6016</v>
      </c>
      <c r="CO1841" s="584" t="s">
        <v>1912</v>
      </c>
      <c r="CP1841" s="584" t="s">
        <v>2535</v>
      </c>
      <c r="CQ1841" s="584" t="s">
        <v>6017</v>
      </c>
      <c r="CR1841" s="584" t="s">
        <v>6018</v>
      </c>
      <c r="CS1841" s="584" t="s">
        <v>1890</v>
      </c>
      <c r="CT1841" s="584" t="s">
        <v>3008</v>
      </c>
      <c r="CU1841" s="584" t="s">
        <v>1892</v>
      </c>
      <c r="CV1841" s="585" t="s">
        <v>1893</v>
      </c>
    </row>
    <row r="1842" spans="91:100" ht="25.5" x14ac:dyDescent="0.25">
      <c r="CM1842" s="582"/>
      <c r="CN1842" s="584" t="s">
        <v>6019</v>
      </c>
      <c r="CO1842" s="584" t="s">
        <v>1912</v>
      </c>
      <c r="CP1842" s="584" t="s">
        <v>2535</v>
      </c>
      <c r="CQ1842" s="584" t="s">
        <v>6020</v>
      </c>
      <c r="CR1842" s="584" t="s">
        <v>6020</v>
      </c>
      <c r="CS1842" s="584" t="s">
        <v>5153</v>
      </c>
      <c r="CT1842" s="584" t="s">
        <v>5924</v>
      </c>
      <c r="CU1842" s="584" t="s">
        <v>2185</v>
      </c>
      <c r="CV1842" s="585" t="s">
        <v>5155</v>
      </c>
    </row>
    <row r="1843" spans="91:100" ht="25.5" x14ac:dyDescent="0.25">
      <c r="CM1843" s="582"/>
      <c r="CN1843" s="584" t="s">
        <v>6021</v>
      </c>
      <c r="CO1843" s="584" t="s">
        <v>1912</v>
      </c>
      <c r="CP1843" s="584" t="s">
        <v>2535</v>
      </c>
      <c r="CQ1843" s="584" t="s">
        <v>6022</v>
      </c>
      <c r="CR1843" s="584" t="s">
        <v>6022</v>
      </c>
      <c r="CS1843" s="584" t="s">
        <v>5153</v>
      </c>
      <c r="CT1843" s="584" t="s">
        <v>5924</v>
      </c>
      <c r="CU1843" s="584" t="s">
        <v>2185</v>
      </c>
      <c r="CV1843" s="585" t="s">
        <v>5155</v>
      </c>
    </row>
    <row r="1844" spans="91:100" x14ac:dyDescent="0.25">
      <c r="CM1844" s="582"/>
      <c r="CN1844" s="584" t="s">
        <v>6023</v>
      </c>
      <c r="CO1844" s="584" t="s">
        <v>1912</v>
      </c>
      <c r="CP1844" s="584" t="s">
        <v>2535</v>
      </c>
      <c r="CQ1844" s="584" t="s">
        <v>6024</v>
      </c>
      <c r="CR1844" s="584" t="s">
        <v>6025</v>
      </c>
      <c r="CS1844" s="584" t="s">
        <v>1890</v>
      </c>
      <c r="CT1844" s="584" t="s">
        <v>3008</v>
      </c>
      <c r="CU1844" s="584" t="s">
        <v>1892</v>
      </c>
      <c r="CV1844" s="585" t="s">
        <v>1893</v>
      </c>
    </row>
    <row r="1845" spans="91:100" x14ac:dyDescent="0.25">
      <c r="CM1845" s="582"/>
      <c r="CN1845" s="584" t="s">
        <v>6026</v>
      </c>
      <c r="CO1845" s="584" t="s">
        <v>1912</v>
      </c>
      <c r="CP1845" s="584" t="s">
        <v>2535</v>
      </c>
      <c r="CQ1845" s="584" t="s">
        <v>6027</v>
      </c>
      <c r="CR1845" s="584" t="s">
        <v>6028</v>
      </c>
      <c r="CS1845" s="584" t="s">
        <v>1890</v>
      </c>
      <c r="CT1845" s="584" t="s">
        <v>3008</v>
      </c>
      <c r="CU1845" s="584" t="s">
        <v>1892</v>
      </c>
      <c r="CV1845" s="585" t="s">
        <v>1893</v>
      </c>
    </row>
    <row r="1846" spans="91:100" ht="25.5" x14ac:dyDescent="0.25">
      <c r="CM1846" s="582"/>
      <c r="CN1846" s="584" t="s">
        <v>6029</v>
      </c>
      <c r="CO1846" s="584" t="s">
        <v>1912</v>
      </c>
      <c r="CP1846" s="584" t="s">
        <v>2535</v>
      </c>
      <c r="CQ1846" s="584" t="s">
        <v>6030</v>
      </c>
      <c r="CR1846" s="584" t="s">
        <v>6031</v>
      </c>
      <c r="CS1846" s="584" t="s">
        <v>5153</v>
      </c>
      <c r="CT1846" s="584" t="s">
        <v>5924</v>
      </c>
      <c r="CU1846" s="584" t="s">
        <v>2185</v>
      </c>
      <c r="CV1846" s="585" t="s">
        <v>5155</v>
      </c>
    </row>
    <row r="1847" spans="91:100" x14ac:dyDescent="0.25">
      <c r="CM1847" s="582"/>
      <c r="CN1847" s="584" t="s">
        <v>6032</v>
      </c>
      <c r="CO1847" s="584" t="s">
        <v>1912</v>
      </c>
      <c r="CP1847" s="584" t="s">
        <v>2535</v>
      </c>
      <c r="CQ1847" s="584" t="s">
        <v>2558</v>
      </c>
      <c r="CR1847" s="584" t="s">
        <v>2558</v>
      </c>
      <c r="CS1847" s="584" t="s">
        <v>1890</v>
      </c>
      <c r="CT1847" s="584" t="s">
        <v>3008</v>
      </c>
      <c r="CU1847" s="584" t="s">
        <v>1892</v>
      </c>
      <c r="CV1847" s="585" t="s">
        <v>1893</v>
      </c>
    </row>
    <row r="1848" spans="91:100" ht="25.5" x14ac:dyDescent="0.25">
      <c r="CM1848" s="582"/>
      <c r="CN1848" s="584" t="s">
        <v>6033</v>
      </c>
      <c r="CO1848" s="584" t="s">
        <v>1912</v>
      </c>
      <c r="CP1848" s="584" t="s">
        <v>2535</v>
      </c>
      <c r="CQ1848" s="584" t="s">
        <v>2362</v>
      </c>
      <c r="CR1848" s="584" t="s">
        <v>2362</v>
      </c>
      <c r="CS1848" s="584" t="s">
        <v>5153</v>
      </c>
      <c r="CT1848" s="584" t="s">
        <v>5924</v>
      </c>
      <c r="CU1848" s="584" t="s">
        <v>2185</v>
      </c>
      <c r="CV1848" s="585" t="s">
        <v>5155</v>
      </c>
    </row>
    <row r="1849" spans="91:100" ht="25.5" x14ac:dyDescent="0.25">
      <c r="CM1849" s="582"/>
      <c r="CN1849" s="584" t="s">
        <v>6034</v>
      </c>
      <c r="CO1849" s="584" t="s">
        <v>1912</v>
      </c>
      <c r="CP1849" s="584" t="s">
        <v>2535</v>
      </c>
      <c r="CQ1849" s="584" t="s">
        <v>6035</v>
      </c>
      <c r="CR1849" s="584" t="s">
        <v>6035</v>
      </c>
      <c r="CS1849" s="584" t="s">
        <v>5153</v>
      </c>
      <c r="CT1849" s="584" t="s">
        <v>5924</v>
      </c>
      <c r="CU1849" s="584" t="s">
        <v>2185</v>
      </c>
      <c r="CV1849" s="585" t="s">
        <v>5155</v>
      </c>
    </row>
    <row r="1850" spans="91:100" ht="25.5" x14ac:dyDescent="0.25">
      <c r="CM1850" s="582"/>
      <c r="CN1850" s="584" t="s">
        <v>6036</v>
      </c>
      <c r="CO1850" s="584" t="s">
        <v>1912</v>
      </c>
      <c r="CP1850" s="584" t="s">
        <v>2535</v>
      </c>
      <c r="CQ1850" s="584" t="s">
        <v>6037</v>
      </c>
      <c r="CR1850" s="584" t="s">
        <v>6038</v>
      </c>
      <c r="CS1850" s="584" t="s">
        <v>5153</v>
      </c>
      <c r="CT1850" s="584" t="s">
        <v>5924</v>
      </c>
      <c r="CU1850" s="584" t="s">
        <v>2185</v>
      </c>
      <c r="CV1850" s="585" t="s">
        <v>5155</v>
      </c>
    </row>
    <row r="1851" spans="91:100" ht="25.5" x14ac:dyDescent="0.25">
      <c r="CM1851" s="582"/>
      <c r="CN1851" s="584" t="s">
        <v>6039</v>
      </c>
      <c r="CO1851" s="584" t="s">
        <v>1912</v>
      </c>
      <c r="CP1851" s="584" t="s">
        <v>2535</v>
      </c>
      <c r="CQ1851" s="584" t="s">
        <v>6040</v>
      </c>
      <c r="CR1851" s="584" t="s">
        <v>6040</v>
      </c>
      <c r="CS1851" s="584" t="s">
        <v>5153</v>
      </c>
      <c r="CT1851" s="584" t="s">
        <v>5924</v>
      </c>
      <c r="CU1851" s="584" t="s">
        <v>2185</v>
      </c>
      <c r="CV1851" s="585" t="s">
        <v>5155</v>
      </c>
    </row>
    <row r="1852" spans="91:100" x14ac:dyDescent="0.25">
      <c r="CM1852" s="582"/>
      <c r="CN1852" s="584" t="s">
        <v>6041</v>
      </c>
      <c r="CO1852" s="584" t="s">
        <v>1912</v>
      </c>
      <c r="CP1852" s="584" t="s">
        <v>2535</v>
      </c>
      <c r="CQ1852" s="584" t="s">
        <v>2560</v>
      </c>
      <c r="CR1852" s="584" t="s">
        <v>2561</v>
      </c>
      <c r="CS1852" s="584" t="s">
        <v>1978</v>
      </c>
      <c r="CT1852" s="584" t="s">
        <v>2542</v>
      </c>
      <c r="CU1852" s="584" t="s">
        <v>1892</v>
      </c>
      <c r="CV1852" s="585" t="s">
        <v>1980</v>
      </c>
    </row>
    <row r="1853" spans="91:100" x14ac:dyDescent="0.25">
      <c r="CM1853" s="582"/>
      <c r="CN1853" s="584" t="s">
        <v>6042</v>
      </c>
      <c r="CO1853" s="584" t="s">
        <v>1912</v>
      </c>
      <c r="CP1853" s="584" t="s">
        <v>2535</v>
      </c>
      <c r="CQ1853" s="584" t="s">
        <v>6043</v>
      </c>
      <c r="CR1853" s="584" t="s">
        <v>6043</v>
      </c>
      <c r="CS1853" s="584" t="s">
        <v>1890</v>
      </c>
      <c r="CT1853" s="584" t="s">
        <v>3008</v>
      </c>
      <c r="CU1853" s="584" t="s">
        <v>1892</v>
      </c>
      <c r="CV1853" s="585" t="s">
        <v>1893</v>
      </c>
    </row>
    <row r="1854" spans="91:100" ht="25.5" x14ac:dyDescent="0.25">
      <c r="CM1854" s="582"/>
      <c r="CN1854" s="584" t="s">
        <v>6044</v>
      </c>
      <c r="CO1854" s="584" t="s">
        <v>1912</v>
      </c>
      <c r="CP1854" s="584" t="s">
        <v>2535</v>
      </c>
      <c r="CQ1854" s="584" t="s">
        <v>6045</v>
      </c>
      <c r="CR1854" s="584" t="s">
        <v>6045</v>
      </c>
      <c r="CS1854" s="584" t="s">
        <v>5153</v>
      </c>
      <c r="CT1854" s="584" t="s">
        <v>5924</v>
      </c>
      <c r="CU1854" s="584" t="s">
        <v>2185</v>
      </c>
      <c r="CV1854" s="585" t="s">
        <v>5155</v>
      </c>
    </row>
    <row r="1855" spans="91:100" x14ac:dyDescent="0.25">
      <c r="CM1855" s="582"/>
      <c r="CN1855" s="584" t="s">
        <v>6046</v>
      </c>
      <c r="CO1855" s="584" t="s">
        <v>1912</v>
      </c>
      <c r="CP1855" s="584" t="s">
        <v>2535</v>
      </c>
      <c r="CQ1855" s="584" t="s">
        <v>6047</v>
      </c>
      <c r="CR1855" s="584" t="s">
        <v>6047</v>
      </c>
      <c r="CS1855" s="584" t="s">
        <v>1978</v>
      </c>
      <c r="CT1855" s="584" t="s">
        <v>2542</v>
      </c>
      <c r="CU1855" s="584" t="s">
        <v>1892</v>
      </c>
      <c r="CV1855" s="585" t="s">
        <v>1980</v>
      </c>
    </row>
    <row r="1856" spans="91:100" ht="25.5" x14ac:dyDescent="0.25">
      <c r="CM1856" s="582"/>
      <c r="CN1856" s="584" t="s">
        <v>6048</v>
      </c>
      <c r="CO1856" s="584" t="s">
        <v>1912</v>
      </c>
      <c r="CP1856" s="584" t="s">
        <v>2535</v>
      </c>
      <c r="CQ1856" s="584" t="s">
        <v>6049</v>
      </c>
      <c r="CR1856" s="584" t="s">
        <v>6050</v>
      </c>
      <c r="CS1856" s="584" t="s">
        <v>5153</v>
      </c>
      <c r="CT1856" s="584" t="s">
        <v>5924</v>
      </c>
      <c r="CU1856" s="584" t="s">
        <v>2185</v>
      </c>
      <c r="CV1856" s="585" t="s">
        <v>5155</v>
      </c>
    </row>
    <row r="1857" spans="91:100" x14ac:dyDescent="0.25">
      <c r="CM1857" s="582"/>
      <c r="CN1857" s="584" t="s">
        <v>6051</v>
      </c>
      <c r="CO1857" s="584" t="s">
        <v>1912</v>
      </c>
      <c r="CP1857" s="584" t="s">
        <v>2535</v>
      </c>
      <c r="CQ1857" s="584" t="s">
        <v>2570</v>
      </c>
      <c r="CR1857" s="584" t="s">
        <v>2570</v>
      </c>
      <c r="CS1857" s="584" t="s">
        <v>1890</v>
      </c>
      <c r="CT1857" s="584" t="s">
        <v>3008</v>
      </c>
      <c r="CU1857" s="584" t="s">
        <v>1892</v>
      </c>
      <c r="CV1857" s="585" t="s">
        <v>1893</v>
      </c>
    </row>
    <row r="1858" spans="91:100" ht="25.5" x14ac:dyDescent="0.25">
      <c r="CM1858" s="582"/>
      <c r="CN1858" s="584" t="s">
        <v>6052</v>
      </c>
      <c r="CO1858" s="584" t="s">
        <v>1912</v>
      </c>
      <c r="CP1858" s="584" t="s">
        <v>2535</v>
      </c>
      <c r="CQ1858" s="584" t="s">
        <v>6053</v>
      </c>
      <c r="CR1858" s="584" t="s">
        <v>6053</v>
      </c>
      <c r="CS1858" s="584" t="s">
        <v>5153</v>
      </c>
      <c r="CT1858" s="584" t="s">
        <v>5924</v>
      </c>
      <c r="CU1858" s="584" t="s">
        <v>2185</v>
      </c>
      <c r="CV1858" s="585" t="s">
        <v>5155</v>
      </c>
    </row>
    <row r="1859" spans="91:100" ht="25.5" x14ac:dyDescent="0.25">
      <c r="CM1859" s="582"/>
      <c r="CN1859" s="584" t="s">
        <v>6054</v>
      </c>
      <c r="CO1859" s="584" t="s">
        <v>1912</v>
      </c>
      <c r="CP1859" s="584" t="s">
        <v>2535</v>
      </c>
      <c r="CQ1859" s="584" t="s">
        <v>6055</v>
      </c>
      <c r="CR1859" s="584" t="s">
        <v>6055</v>
      </c>
      <c r="CS1859" s="584" t="s">
        <v>5153</v>
      </c>
      <c r="CT1859" s="584" t="s">
        <v>5924</v>
      </c>
      <c r="CU1859" s="584" t="s">
        <v>2185</v>
      </c>
      <c r="CV1859" s="585" t="s">
        <v>5155</v>
      </c>
    </row>
    <row r="1860" spans="91:100" ht="25.5" x14ac:dyDescent="0.25">
      <c r="CM1860" s="582"/>
      <c r="CN1860" s="584" t="s">
        <v>6056</v>
      </c>
      <c r="CO1860" s="584" t="s">
        <v>1912</v>
      </c>
      <c r="CP1860" s="584" t="s">
        <v>2535</v>
      </c>
      <c r="CQ1860" s="584" t="s">
        <v>6057</v>
      </c>
      <c r="CR1860" s="584" t="s">
        <v>6057</v>
      </c>
      <c r="CS1860" s="584" t="s">
        <v>5153</v>
      </c>
      <c r="CT1860" s="584" t="s">
        <v>5924</v>
      </c>
      <c r="CU1860" s="584" t="s">
        <v>2185</v>
      </c>
      <c r="CV1860" s="585" t="s">
        <v>5155</v>
      </c>
    </row>
    <row r="1861" spans="91:100" x14ac:dyDescent="0.25">
      <c r="CM1861" s="582"/>
      <c r="CN1861" s="584" t="s">
        <v>6058</v>
      </c>
      <c r="CO1861" s="584" t="s">
        <v>1912</v>
      </c>
      <c r="CP1861" s="584" t="s">
        <v>2535</v>
      </c>
      <c r="CQ1861" s="584" t="s">
        <v>3051</v>
      </c>
      <c r="CR1861" s="584" t="s">
        <v>3051</v>
      </c>
      <c r="CS1861" s="584" t="s">
        <v>1890</v>
      </c>
      <c r="CT1861" s="584" t="s">
        <v>3008</v>
      </c>
      <c r="CU1861" s="584" t="s">
        <v>1892</v>
      </c>
      <c r="CV1861" s="585" t="s">
        <v>1893</v>
      </c>
    </row>
    <row r="1862" spans="91:100" ht="25.5" x14ac:dyDescent="0.25">
      <c r="CM1862" s="582"/>
      <c r="CN1862" s="584" t="s">
        <v>6059</v>
      </c>
      <c r="CO1862" s="584" t="s">
        <v>1912</v>
      </c>
      <c r="CP1862" s="584" t="s">
        <v>2535</v>
      </c>
      <c r="CQ1862" s="584" t="s">
        <v>6060</v>
      </c>
      <c r="CR1862" s="584" t="s">
        <v>6060</v>
      </c>
      <c r="CS1862" s="584" t="s">
        <v>5153</v>
      </c>
      <c r="CT1862" s="584" t="s">
        <v>5924</v>
      </c>
      <c r="CU1862" s="584" t="s">
        <v>2185</v>
      </c>
      <c r="CV1862" s="585" t="s">
        <v>5155</v>
      </c>
    </row>
    <row r="1863" spans="91:100" ht="25.5" x14ac:dyDescent="0.25">
      <c r="CM1863" s="582"/>
      <c r="CN1863" s="584" t="s">
        <v>6061</v>
      </c>
      <c r="CO1863" s="584" t="s">
        <v>1912</v>
      </c>
      <c r="CP1863" s="584" t="s">
        <v>2535</v>
      </c>
      <c r="CQ1863" s="584" t="s">
        <v>6062</v>
      </c>
      <c r="CR1863" s="584" t="s">
        <v>6062</v>
      </c>
      <c r="CS1863" s="584" t="s">
        <v>5153</v>
      </c>
      <c r="CT1863" s="584" t="s">
        <v>5924</v>
      </c>
      <c r="CU1863" s="584" t="s">
        <v>2185</v>
      </c>
      <c r="CV1863" s="585" t="s">
        <v>5155</v>
      </c>
    </row>
    <row r="1864" spans="91:100" ht="25.5" x14ac:dyDescent="0.25">
      <c r="CM1864" s="582"/>
      <c r="CN1864" s="584" t="s">
        <v>6063</v>
      </c>
      <c r="CO1864" s="584" t="s">
        <v>1912</v>
      </c>
      <c r="CP1864" s="584" t="s">
        <v>2535</v>
      </c>
      <c r="CQ1864" s="584" t="s">
        <v>4783</v>
      </c>
      <c r="CR1864" s="584" t="s">
        <v>4783</v>
      </c>
      <c r="CS1864" s="584" t="s">
        <v>5153</v>
      </c>
      <c r="CT1864" s="584" t="s">
        <v>5924</v>
      </c>
      <c r="CU1864" s="584" t="s">
        <v>2185</v>
      </c>
      <c r="CV1864" s="585" t="s">
        <v>5155</v>
      </c>
    </row>
    <row r="1865" spans="91:100" ht="25.5" x14ac:dyDescent="0.25">
      <c r="CM1865" s="582"/>
      <c r="CN1865" s="584" t="s">
        <v>6064</v>
      </c>
      <c r="CO1865" s="584" t="s">
        <v>1912</v>
      </c>
      <c r="CP1865" s="584" t="s">
        <v>2535</v>
      </c>
      <c r="CQ1865" s="584" t="s">
        <v>3005</v>
      </c>
      <c r="CR1865" s="584" t="s">
        <v>3005</v>
      </c>
      <c r="CS1865" s="584" t="s">
        <v>5153</v>
      </c>
      <c r="CT1865" s="584" t="s">
        <v>5924</v>
      </c>
      <c r="CU1865" s="584" t="s">
        <v>2185</v>
      </c>
      <c r="CV1865" s="585" t="s">
        <v>5155</v>
      </c>
    </row>
    <row r="1866" spans="91:100" ht="25.5" x14ac:dyDescent="0.25">
      <c r="CM1866" s="582"/>
      <c r="CN1866" s="584" t="s">
        <v>6065</v>
      </c>
      <c r="CO1866" s="584" t="s">
        <v>1912</v>
      </c>
      <c r="CP1866" s="584" t="s">
        <v>2535</v>
      </c>
      <c r="CQ1866" s="584" t="s">
        <v>6066</v>
      </c>
      <c r="CR1866" s="584" t="s">
        <v>6066</v>
      </c>
      <c r="CS1866" s="584" t="s">
        <v>5153</v>
      </c>
      <c r="CT1866" s="584" t="s">
        <v>5924</v>
      </c>
      <c r="CU1866" s="584" t="s">
        <v>2185</v>
      </c>
      <c r="CV1866" s="585" t="s">
        <v>5155</v>
      </c>
    </row>
    <row r="1867" spans="91:100" x14ac:dyDescent="0.25">
      <c r="CM1867" s="582"/>
      <c r="CN1867" s="584" t="s">
        <v>6067</v>
      </c>
      <c r="CO1867" s="584" t="s">
        <v>1912</v>
      </c>
      <c r="CP1867" s="584" t="s">
        <v>2535</v>
      </c>
      <c r="CQ1867" s="584" t="s">
        <v>6068</v>
      </c>
      <c r="CR1867" s="584" t="s">
        <v>6069</v>
      </c>
      <c r="CS1867" s="584" t="s">
        <v>1890</v>
      </c>
      <c r="CT1867" s="584" t="s">
        <v>3008</v>
      </c>
      <c r="CU1867" s="584" t="s">
        <v>1892</v>
      </c>
      <c r="CV1867" s="585" t="s">
        <v>1893</v>
      </c>
    </row>
    <row r="1868" spans="91:100" x14ac:dyDescent="0.25">
      <c r="CM1868" s="582"/>
      <c r="CN1868" s="584" t="s">
        <v>6070</v>
      </c>
      <c r="CO1868" s="584" t="s">
        <v>1912</v>
      </c>
      <c r="CP1868" s="584" t="s">
        <v>2535</v>
      </c>
      <c r="CQ1868" s="584" t="s">
        <v>2445</v>
      </c>
      <c r="CR1868" s="584" t="s">
        <v>2445</v>
      </c>
      <c r="CS1868" s="584" t="s">
        <v>1890</v>
      </c>
      <c r="CT1868" s="584" t="s">
        <v>3008</v>
      </c>
      <c r="CU1868" s="584" t="s">
        <v>1892</v>
      </c>
      <c r="CV1868" s="585" t="s">
        <v>1893</v>
      </c>
    </row>
    <row r="1869" spans="91:100" x14ac:dyDescent="0.25">
      <c r="CM1869" s="582"/>
      <c r="CN1869" s="584" t="s">
        <v>6071</v>
      </c>
      <c r="CO1869" s="584" t="s">
        <v>1912</v>
      </c>
      <c r="CP1869" s="584" t="s">
        <v>2535</v>
      </c>
      <c r="CQ1869" s="584" t="s">
        <v>6072</v>
      </c>
      <c r="CR1869" s="584" t="s">
        <v>6072</v>
      </c>
      <c r="CS1869" s="584" t="s">
        <v>1890</v>
      </c>
      <c r="CT1869" s="584" t="s">
        <v>3008</v>
      </c>
      <c r="CU1869" s="584" t="s">
        <v>1892</v>
      </c>
      <c r="CV1869" s="585" t="s">
        <v>1893</v>
      </c>
    </row>
    <row r="1870" spans="91:100" x14ac:dyDescent="0.25">
      <c r="CM1870" s="582"/>
      <c r="CN1870" s="584" t="s">
        <v>6073</v>
      </c>
      <c r="CO1870" s="584" t="s">
        <v>1912</v>
      </c>
      <c r="CP1870" s="584" t="s">
        <v>3059</v>
      </c>
      <c r="CQ1870" s="584" t="s">
        <v>3060</v>
      </c>
      <c r="CR1870" s="584" t="s">
        <v>3060</v>
      </c>
      <c r="CS1870" s="584" t="s">
        <v>1978</v>
      </c>
      <c r="CT1870" s="584" t="s">
        <v>3061</v>
      </c>
      <c r="CU1870" s="584" t="s">
        <v>1892</v>
      </c>
      <c r="CV1870" s="585" t="s">
        <v>1980</v>
      </c>
    </row>
    <row r="1871" spans="91:100" x14ac:dyDescent="0.25">
      <c r="CM1871" s="582"/>
      <c r="CN1871" s="584" t="s">
        <v>6074</v>
      </c>
      <c r="CO1871" s="584" t="s">
        <v>1912</v>
      </c>
      <c r="CP1871" s="584" t="s">
        <v>3059</v>
      </c>
      <c r="CQ1871" s="584" t="s">
        <v>3063</v>
      </c>
      <c r="CR1871" s="584" t="s">
        <v>3064</v>
      </c>
      <c r="CS1871" s="584" t="s">
        <v>1978</v>
      </c>
      <c r="CT1871" s="584" t="s">
        <v>3061</v>
      </c>
      <c r="CU1871" s="584" t="s">
        <v>1892</v>
      </c>
      <c r="CV1871" s="585" t="s">
        <v>1980</v>
      </c>
    </row>
    <row r="1872" spans="91:100" x14ac:dyDescent="0.25">
      <c r="CM1872" s="582"/>
      <c r="CN1872" s="584" t="s">
        <v>6075</v>
      </c>
      <c r="CO1872" s="584" t="s">
        <v>1912</v>
      </c>
      <c r="CP1872" s="584" t="s">
        <v>3059</v>
      </c>
      <c r="CQ1872" s="584" t="s">
        <v>3066</v>
      </c>
      <c r="CR1872" s="584" t="s">
        <v>3067</v>
      </c>
      <c r="CS1872" s="584" t="s">
        <v>1978</v>
      </c>
      <c r="CT1872" s="584" t="s">
        <v>3061</v>
      </c>
      <c r="CU1872" s="584" t="s">
        <v>1892</v>
      </c>
      <c r="CV1872" s="585" t="s">
        <v>1980</v>
      </c>
    </row>
    <row r="1873" spans="91:100" x14ac:dyDescent="0.25">
      <c r="CM1873" s="582"/>
      <c r="CN1873" s="584" t="s">
        <v>6076</v>
      </c>
      <c r="CO1873" s="584" t="s">
        <v>1912</v>
      </c>
      <c r="CP1873" s="584" t="s">
        <v>3059</v>
      </c>
      <c r="CQ1873" s="584" t="s">
        <v>3069</v>
      </c>
      <c r="CR1873" s="584" t="s">
        <v>3070</v>
      </c>
      <c r="CS1873" s="584" t="s">
        <v>1978</v>
      </c>
      <c r="CT1873" s="584" t="s">
        <v>3061</v>
      </c>
      <c r="CU1873" s="584" t="s">
        <v>1892</v>
      </c>
      <c r="CV1873" s="585" t="s">
        <v>1980</v>
      </c>
    </row>
    <row r="1874" spans="91:100" x14ac:dyDescent="0.25">
      <c r="CM1874" s="582"/>
      <c r="CN1874" s="584" t="s">
        <v>6077</v>
      </c>
      <c r="CO1874" s="584" t="s">
        <v>1912</v>
      </c>
      <c r="CP1874" s="584" t="s">
        <v>3059</v>
      </c>
      <c r="CQ1874" s="584" t="s">
        <v>2496</v>
      </c>
      <c r="CR1874" s="584" t="s">
        <v>2497</v>
      </c>
      <c r="CS1874" s="584" t="s">
        <v>1978</v>
      </c>
      <c r="CT1874" s="584" t="s">
        <v>3061</v>
      </c>
      <c r="CU1874" s="584" t="s">
        <v>1892</v>
      </c>
      <c r="CV1874" s="585" t="s">
        <v>1980</v>
      </c>
    </row>
    <row r="1875" spans="91:100" x14ac:dyDescent="0.25">
      <c r="CM1875" s="582"/>
      <c r="CN1875" s="584" t="s">
        <v>6078</v>
      </c>
      <c r="CO1875" s="584" t="s">
        <v>1912</v>
      </c>
      <c r="CP1875" s="584" t="s">
        <v>3059</v>
      </c>
      <c r="CQ1875" s="584" t="s">
        <v>2499</v>
      </c>
      <c r="CR1875" s="584" t="s">
        <v>2500</v>
      </c>
      <c r="CS1875" s="584" t="s">
        <v>1978</v>
      </c>
      <c r="CT1875" s="584" t="s">
        <v>3061</v>
      </c>
      <c r="CU1875" s="584" t="s">
        <v>1892</v>
      </c>
      <c r="CV1875" s="585" t="s">
        <v>1980</v>
      </c>
    </row>
    <row r="1876" spans="91:100" x14ac:dyDescent="0.25">
      <c r="CM1876" s="582"/>
      <c r="CN1876" s="584" t="s">
        <v>6079</v>
      </c>
      <c r="CO1876" s="584" t="s">
        <v>1912</v>
      </c>
      <c r="CP1876" s="584" t="s">
        <v>3059</v>
      </c>
      <c r="CQ1876" s="584" t="s">
        <v>2508</v>
      </c>
      <c r="CR1876" s="584" t="s">
        <v>2509</v>
      </c>
      <c r="CS1876" s="584" t="s">
        <v>1978</v>
      </c>
      <c r="CT1876" s="584" t="s">
        <v>3061</v>
      </c>
      <c r="CU1876" s="584" t="s">
        <v>1892</v>
      </c>
      <c r="CV1876" s="585" t="s">
        <v>1980</v>
      </c>
    </row>
    <row r="1877" spans="91:100" x14ac:dyDescent="0.25">
      <c r="CM1877" s="582"/>
      <c r="CN1877" s="584" t="s">
        <v>6080</v>
      </c>
      <c r="CO1877" s="584" t="s">
        <v>1912</v>
      </c>
      <c r="CP1877" s="584" t="s">
        <v>3059</v>
      </c>
      <c r="CQ1877" s="584" t="s">
        <v>3075</v>
      </c>
      <c r="CR1877" s="584" t="s">
        <v>3075</v>
      </c>
      <c r="CS1877" s="584" t="s">
        <v>1978</v>
      </c>
      <c r="CT1877" s="584" t="s">
        <v>3061</v>
      </c>
      <c r="CU1877" s="584" t="s">
        <v>1892</v>
      </c>
      <c r="CV1877" s="585" t="s">
        <v>1980</v>
      </c>
    </row>
    <row r="1878" spans="91:100" x14ac:dyDescent="0.25">
      <c r="CM1878" s="582"/>
      <c r="CN1878" s="584" t="s">
        <v>6081</v>
      </c>
      <c r="CO1878" s="584" t="s">
        <v>1912</v>
      </c>
      <c r="CP1878" s="584" t="s">
        <v>3059</v>
      </c>
      <c r="CQ1878" s="584" t="s">
        <v>3077</v>
      </c>
      <c r="CR1878" s="584" t="s">
        <v>3077</v>
      </c>
      <c r="CS1878" s="584" t="s">
        <v>1978</v>
      </c>
      <c r="CT1878" s="584" t="s">
        <v>3061</v>
      </c>
      <c r="CU1878" s="584" t="s">
        <v>1892</v>
      </c>
      <c r="CV1878" s="585" t="s">
        <v>1980</v>
      </c>
    </row>
    <row r="1879" spans="91:100" x14ac:dyDescent="0.25">
      <c r="CM1879" s="582"/>
      <c r="CN1879" s="584" t="s">
        <v>6082</v>
      </c>
      <c r="CO1879" s="584" t="s">
        <v>1913</v>
      </c>
      <c r="CP1879" s="584" t="s">
        <v>1888</v>
      </c>
      <c r="CQ1879" s="584" t="s">
        <v>6083</v>
      </c>
      <c r="CR1879" s="584" t="s">
        <v>6083</v>
      </c>
      <c r="CS1879" s="584" t="s">
        <v>1978</v>
      </c>
      <c r="CT1879" s="584" t="s">
        <v>1979</v>
      </c>
      <c r="CU1879" s="584" t="s">
        <v>1892</v>
      </c>
      <c r="CV1879" s="585" t="s">
        <v>1980</v>
      </c>
    </row>
    <row r="1880" spans="91:100" x14ac:dyDescent="0.25">
      <c r="CM1880" s="582"/>
      <c r="CN1880" s="584" t="s">
        <v>6084</v>
      </c>
      <c r="CO1880" s="584" t="s">
        <v>1913</v>
      </c>
      <c r="CP1880" s="584" t="s">
        <v>1888</v>
      </c>
      <c r="CQ1880" s="584" t="s">
        <v>6085</v>
      </c>
      <c r="CR1880" s="584" t="s">
        <v>6085</v>
      </c>
      <c r="CS1880" s="584" t="s">
        <v>1978</v>
      </c>
      <c r="CT1880" s="584" t="s">
        <v>1979</v>
      </c>
      <c r="CU1880" s="584" t="s">
        <v>1892</v>
      </c>
      <c r="CV1880" s="585" t="s">
        <v>1980</v>
      </c>
    </row>
    <row r="1881" spans="91:100" x14ac:dyDescent="0.25">
      <c r="CM1881" s="582"/>
      <c r="CN1881" s="584" t="s">
        <v>6086</v>
      </c>
      <c r="CO1881" s="584" t="s">
        <v>1913</v>
      </c>
      <c r="CP1881" s="584" t="s">
        <v>1888</v>
      </c>
      <c r="CQ1881" s="584" t="s">
        <v>6087</v>
      </c>
      <c r="CR1881" s="584" t="s">
        <v>6087</v>
      </c>
      <c r="CS1881" s="584" t="s">
        <v>1890</v>
      </c>
      <c r="CT1881" s="584" t="s">
        <v>6088</v>
      </c>
      <c r="CU1881" s="584" t="s">
        <v>1892</v>
      </c>
      <c r="CV1881" s="585" t="s">
        <v>1893</v>
      </c>
    </row>
    <row r="1882" spans="91:100" x14ac:dyDescent="0.25">
      <c r="CM1882" s="582"/>
      <c r="CN1882" s="584" t="s">
        <v>6089</v>
      </c>
      <c r="CO1882" s="584" t="s">
        <v>1913</v>
      </c>
      <c r="CP1882" s="584" t="s">
        <v>1888</v>
      </c>
      <c r="CQ1882" s="584" t="s">
        <v>6090</v>
      </c>
      <c r="CR1882" s="584" t="s">
        <v>6090</v>
      </c>
      <c r="CS1882" s="584" t="s">
        <v>1890</v>
      </c>
      <c r="CT1882" s="584" t="s">
        <v>6088</v>
      </c>
      <c r="CU1882" s="584" t="s">
        <v>1892</v>
      </c>
      <c r="CV1882" s="585" t="s">
        <v>1893</v>
      </c>
    </row>
    <row r="1883" spans="91:100" x14ac:dyDescent="0.25">
      <c r="CM1883" s="582"/>
      <c r="CN1883" s="584" t="s">
        <v>6091</v>
      </c>
      <c r="CO1883" s="584" t="s">
        <v>1913</v>
      </c>
      <c r="CP1883" s="584" t="s">
        <v>1888</v>
      </c>
      <c r="CQ1883" s="584" t="s">
        <v>6092</v>
      </c>
      <c r="CR1883" s="584" t="s">
        <v>6092</v>
      </c>
      <c r="CS1883" s="584" t="s">
        <v>1890</v>
      </c>
      <c r="CT1883" s="584" t="s">
        <v>6088</v>
      </c>
      <c r="CU1883" s="584" t="s">
        <v>1892</v>
      </c>
      <c r="CV1883" s="585" t="s">
        <v>1893</v>
      </c>
    </row>
    <row r="1884" spans="91:100" x14ac:dyDescent="0.25">
      <c r="CM1884" s="582"/>
      <c r="CN1884" s="584" t="s">
        <v>6093</v>
      </c>
      <c r="CO1884" s="584" t="s">
        <v>1913</v>
      </c>
      <c r="CP1884" s="584" t="s">
        <v>1888</v>
      </c>
      <c r="CQ1884" s="584" t="s">
        <v>6094</v>
      </c>
      <c r="CR1884" s="584" t="s">
        <v>6094</v>
      </c>
      <c r="CS1884" s="584" t="s">
        <v>1890</v>
      </c>
      <c r="CT1884" s="584" t="s">
        <v>6088</v>
      </c>
      <c r="CU1884" s="584" t="s">
        <v>1892</v>
      </c>
      <c r="CV1884" s="585" t="s">
        <v>1893</v>
      </c>
    </row>
    <row r="1885" spans="91:100" x14ac:dyDescent="0.25">
      <c r="CM1885" s="582"/>
      <c r="CN1885" s="584" t="s">
        <v>6095</v>
      </c>
      <c r="CO1885" s="584" t="s">
        <v>1913</v>
      </c>
      <c r="CP1885" s="584" t="s">
        <v>1888</v>
      </c>
      <c r="CQ1885" s="584" t="s">
        <v>6096</v>
      </c>
      <c r="CR1885" s="584" t="s">
        <v>6096</v>
      </c>
      <c r="CS1885" s="584" t="s">
        <v>1978</v>
      </c>
      <c r="CT1885" s="584" t="s">
        <v>1979</v>
      </c>
      <c r="CU1885" s="584" t="s">
        <v>1892</v>
      </c>
      <c r="CV1885" s="585" t="s">
        <v>1980</v>
      </c>
    </row>
    <row r="1886" spans="91:100" x14ac:dyDescent="0.25">
      <c r="CM1886" s="582"/>
      <c r="CN1886" s="584" t="s">
        <v>6097</v>
      </c>
      <c r="CO1886" s="584" t="s">
        <v>1913</v>
      </c>
      <c r="CP1886" s="584" t="s">
        <v>1888</v>
      </c>
      <c r="CQ1886" s="584" t="s">
        <v>6098</v>
      </c>
      <c r="CR1886" s="584" t="s">
        <v>6098</v>
      </c>
      <c r="CS1886" s="584" t="s">
        <v>1978</v>
      </c>
      <c r="CT1886" s="584" t="s">
        <v>1979</v>
      </c>
      <c r="CU1886" s="584" t="s">
        <v>1892</v>
      </c>
      <c r="CV1886" s="585" t="s">
        <v>1980</v>
      </c>
    </row>
    <row r="1887" spans="91:100" x14ac:dyDescent="0.25">
      <c r="CM1887" s="582"/>
      <c r="CN1887" s="584" t="s">
        <v>6099</v>
      </c>
      <c r="CO1887" s="584" t="s">
        <v>1913</v>
      </c>
      <c r="CP1887" s="584" t="s">
        <v>1888</v>
      </c>
      <c r="CQ1887" s="584" t="s">
        <v>6100</v>
      </c>
      <c r="CR1887" s="584" t="s">
        <v>6100</v>
      </c>
      <c r="CS1887" s="584" t="s">
        <v>1890</v>
      </c>
      <c r="CT1887" s="584" t="s">
        <v>6088</v>
      </c>
      <c r="CU1887" s="584" t="s">
        <v>1892</v>
      </c>
      <c r="CV1887" s="585" t="s">
        <v>1893</v>
      </c>
    </row>
    <row r="1888" spans="91:100" x14ac:dyDescent="0.25">
      <c r="CM1888" s="582"/>
      <c r="CN1888" s="584" t="s">
        <v>6101</v>
      </c>
      <c r="CO1888" s="584" t="s">
        <v>1913</v>
      </c>
      <c r="CP1888" s="584" t="s">
        <v>1888</v>
      </c>
      <c r="CQ1888" s="584" t="s">
        <v>6102</v>
      </c>
      <c r="CR1888" s="584" t="s">
        <v>6102</v>
      </c>
      <c r="CS1888" s="584" t="s">
        <v>1890</v>
      </c>
      <c r="CT1888" s="584" t="s">
        <v>6088</v>
      </c>
      <c r="CU1888" s="584" t="s">
        <v>1892</v>
      </c>
      <c r="CV1888" s="585" t="s">
        <v>1893</v>
      </c>
    </row>
    <row r="1889" spans="91:100" x14ac:dyDescent="0.25">
      <c r="CM1889" s="582"/>
      <c r="CN1889" s="584" t="s">
        <v>6103</v>
      </c>
      <c r="CO1889" s="584" t="s">
        <v>1913</v>
      </c>
      <c r="CP1889" s="584" t="s">
        <v>1888</v>
      </c>
      <c r="CQ1889" s="584" t="s">
        <v>6104</v>
      </c>
      <c r="CR1889" s="584" t="s">
        <v>6104</v>
      </c>
      <c r="CS1889" s="584" t="s">
        <v>1978</v>
      </c>
      <c r="CT1889" s="584" t="s">
        <v>1979</v>
      </c>
      <c r="CU1889" s="584" t="s">
        <v>1892</v>
      </c>
      <c r="CV1889" s="585" t="s">
        <v>1980</v>
      </c>
    </row>
    <row r="1890" spans="91:100" x14ac:dyDescent="0.25">
      <c r="CM1890" s="582"/>
      <c r="CN1890" s="584" t="s">
        <v>6105</v>
      </c>
      <c r="CO1890" s="584" t="s">
        <v>1913</v>
      </c>
      <c r="CP1890" s="584" t="s">
        <v>1888</v>
      </c>
      <c r="CQ1890" s="584" t="s">
        <v>6106</v>
      </c>
      <c r="CR1890" s="584" t="s">
        <v>6106</v>
      </c>
      <c r="CS1890" s="584" t="s">
        <v>1978</v>
      </c>
      <c r="CT1890" s="584" t="s">
        <v>1979</v>
      </c>
      <c r="CU1890" s="584" t="s">
        <v>1892</v>
      </c>
      <c r="CV1890" s="585" t="s">
        <v>1980</v>
      </c>
    </row>
    <row r="1891" spans="91:100" x14ac:dyDescent="0.25">
      <c r="CM1891" s="582"/>
      <c r="CN1891" s="584" t="s">
        <v>6107</v>
      </c>
      <c r="CO1891" s="584" t="s">
        <v>1913</v>
      </c>
      <c r="CP1891" s="584" t="s">
        <v>1888</v>
      </c>
      <c r="CQ1891" s="584" t="s">
        <v>6108</v>
      </c>
      <c r="CR1891" s="584" t="s">
        <v>6108</v>
      </c>
      <c r="CS1891" s="584" t="s">
        <v>1890</v>
      </c>
      <c r="CT1891" s="584" t="s">
        <v>6088</v>
      </c>
      <c r="CU1891" s="584" t="s">
        <v>1892</v>
      </c>
      <c r="CV1891" s="585" t="s">
        <v>1893</v>
      </c>
    </row>
    <row r="1892" spans="91:100" x14ac:dyDescent="0.25">
      <c r="CM1892" s="582"/>
      <c r="CN1892" s="584" t="s">
        <v>6109</v>
      </c>
      <c r="CO1892" s="584" t="s">
        <v>1913</v>
      </c>
      <c r="CP1892" s="584" t="s">
        <v>1888</v>
      </c>
      <c r="CQ1892" s="584" t="s">
        <v>6110</v>
      </c>
      <c r="CR1892" s="584" t="s">
        <v>6110</v>
      </c>
      <c r="CS1892" s="584" t="s">
        <v>1890</v>
      </c>
      <c r="CT1892" s="584" t="s">
        <v>6088</v>
      </c>
      <c r="CU1892" s="584" t="s">
        <v>1892</v>
      </c>
      <c r="CV1892" s="585" t="s">
        <v>1893</v>
      </c>
    </row>
    <row r="1893" spans="91:100" x14ac:dyDescent="0.25">
      <c r="CM1893" s="582"/>
      <c r="CN1893" s="584" t="s">
        <v>6111</v>
      </c>
      <c r="CO1893" s="584" t="s">
        <v>1913</v>
      </c>
      <c r="CP1893" s="584" t="s">
        <v>1888</v>
      </c>
      <c r="CQ1893" s="584" t="s">
        <v>2336</v>
      </c>
      <c r="CR1893" s="584" t="s">
        <v>2336</v>
      </c>
      <c r="CS1893" s="584" t="s">
        <v>1890</v>
      </c>
      <c r="CT1893" s="584" t="s">
        <v>6088</v>
      </c>
      <c r="CU1893" s="584" t="s">
        <v>1892</v>
      </c>
      <c r="CV1893" s="585" t="s">
        <v>1893</v>
      </c>
    </row>
    <row r="1894" spans="91:100" x14ac:dyDescent="0.25">
      <c r="CM1894" s="582"/>
      <c r="CN1894" s="584" t="s">
        <v>6112</v>
      </c>
      <c r="CO1894" s="584" t="s">
        <v>1913</v>
      </c>
      <c r="CP1894" s="584" t="s">
        <v>1888</v>
      </c>
      <c r="CQ1894" s="584" t="s">
        <v>6113</v>
      </c>
      <c r="CR1894" s="584" t="s">
        <v>6113</v>
      </c>
      <c r="CS1894" s="584" t="s">
        <v>1890</v>
      </c>
      <c r="CT1894" s="584" t="s">
        <v>6088</v>
      </c>
      <c r="CU1894" s="584" t="s">
        <v>1892</v>
      </c>
      <c r="CV1894" s="585" t="s">
        <v>1893</v>
      </c>
    </row>
    <row r="1895" spans="91:100" x14ac:dyDescent="0.25">
      <c r="CM1895" s="582"/>
      <c r="CN1895" s="584" t="s">
        <v>6114</v>
      </c>
      <c r="CO1895" s="584" t="s">
        <v>1913</v>
      </c>
      <c r="CP1895" s="584" t="s">
        <v>1888</v>
      </c>
      <c r="CQ1895" s="584" t="s">
        <v>6115</v>
      </c>
      <c r="CR1895" s="584" t="s">
        <v>6115</v>
      </c>
      <c r="CS1895" s="584" t="s">
        <v>1890</v>
      </c>
      <c r="CT1895" s="584" t="s">
        <v>6088</v>
      </c>
      <c r="CU1895" s="584" t="s">
        <v>1892</v>
      </c>
      <c r="CV1895" s="585" t="s">
        <v>1893</v>
      </c>
    </row>
    <row r="1896" spans="91:100" x14ac:dyDescent="0.25">
      <c r="CM1896" s="582"/>
      <c r="CN1896" s="584" t="s">
        <v>6116</v>
      </c>
      <c r="CO1896" s="584" t="s">
        <v>1913</v>
      </c>
      <c r="CP1896" s="584" t="s">
        <v>1888</v>
      </c>
      <c r="CQ1896" s="584" t="s">
        <v>6117</v>
      </c>
      <c r="CR1896" s="584" t="s">
        <v>6117</v>
      </c>
      <c r="CS1896" s="584" t="s">
        <v>1890</v>
      </c>
      <c r="CT1896" s="584" t="s">
        <v>6088</v>
      </c>
      <c r="CU1896" s="584" t="s">
        <v>1892</v>
      </c>
      <c r="CV1896" s="585" t="s">
        <v>1893</v>
      </c>
    </row>
    <row r="1897" spans="91:100" x14ac:dyDescent="0.25">
      <c r="CM1897" s="582"/>
      <c r="CN1897" s="584" t="s">
        <v>6118</v>
      </c>
      <c r="CO1897" s="584" t="s">
        <v>1913</v>
      </c>
      <c r="CP1897" s="584" t="s">
        <v>1888</v>
      </c>
      <c r="CQ1897" s="584" t="s">
        <v>6119</v>
      </c>
      <c r="CR1897" s="584" t="s">
        <v>6119</v>
      </c>
      <c r="CS1897" s="584" t="s">
        <v>1978</v>
      </c>
      <c r="CT1897" s="584" t="s">
        <v>1979</v>
      </c>
      <c r="CU1897" s="584" t="s">
        <v>1892</v>
      </c>
      <c r="CV1897" s="585" t="s">
        <v>1980</v>
      </c>
    </row>
    <row r="1898" spans="91:100" x14ac:dyDescent="0.25">
      <c r="CM1898" s="582"/>
      <c r="CN1898" s="584" t="s">
        <v>6120</v>
      </c>
      <c r="CO1898" s="584" t="s">
        <v>1913</v>
      </c>
      <c r="CP1898" s="584" t="s">
        <v>1888</v>
      </c>
      <c r="CQ1898" s="584" t="s">
        <v>6121</v>
      </c>
      <c r="CR1898" s="584" t="s">
        <v>6121</v>
      </c>
      <c r="CS1898" s="584" t="s">
        <v>1978</v>
      </c>
      <c r="CT1898" s="584" t="s">
        <v>1979</v>
      </c>
      <c r="CU1898" s="584" t="s">
        <v>1892</v>
      </c>
      <c r="CV1898" s="585" t="s">
        <v>1980</v>
      </c>
    </row>
    <row r="1899" spans="91:100" x14ac:dyDescent="0.25">
      <c r="CM1899" s="582"/>
      <c r="CN1899" s="584" t="s">
        <v>6122</v>
      </c>
      <c r="CO1899" s="584" t="s">
        <v>1913</v>
      </c>
      <c r="CP1899" s="584" t="s">
        <v>1888</v>
      </c>
      <c r="CQ1899" s="584" t="s">
        <v>6123</v>
      </c>
      <c r="CR1899" s="584" t="s">
        <v>6123</v>
      </c>
      <c r="CS1899" s="584" t="s">
        <v>1890</v>
      </c>
      <c r="CT1899" s="584" t="s">
        <v>6088</v>
      </c>
      <c r="CU1899" s="584" t="s">
        <v>1892</v>
      </c>
      <c r="CV1899" s="585" t="s">
        <v>1893</v>
      </c>
    </row>
    <row r="1900" spans="91:100" x14ac:dyDescent="0.25">
      <c r="CM1900" s="582"/>
      <c r="CN1900" s="584" t="s">
        <v>6124</v>
      </c>
      <c r="CO1900" s="584" t="s">
        <v>1913</v>
      </c>
      <c r="CP1900" s="584" t="s">
        <v>1888</v>
      </c>
      <c r="CQ1900" s="584" t="s">
        <v>6125</v>
      </c>
      <c r="CR1900" s="584" t="s">
        <v>6125</v>
      </c>
      <c r="CS1900" s="584" t="s">
        <v>1890</v>
      </c>
      <c r="CT1900" s="584" t="s">
        <v>6088</v>
      </c>
      <c r="CU1900" s="584" t="s">
        <v>1892</v>
      </c>
      <c r="CV1900" s="585" t="s">
        <v>1893</v>
      </c>
    </row>
    <row r="1901" spans="91:100" x14ac:dyDescent="0.25">
      <c r="CM1901" s="582"/>
      <c r="CN1901" s="584" t="s">
        <v>6126</v>
      </c>
      <c r="CO1901" s="584" t="s">
        <v>1913</v>
      </c>
      <c r="CP1901" s="584" t="s">
        <v>1888</v>
      </c>
      <c r="CQ1901" s="584" t="s">
        <v>5889</v>
      </c>
      <c r="CR1901" s="584" t="s">
        <v>5889</v>
      </c>
      <c r="CS1901" s="584" t="s">
        <v>1890</v>
      </c>
      <c r="CT1901" s="584" t="s">
        <v>6088</v>
      </c>
      <c r="CU1901" s="584" t="s">
        <v>1892</v>
      </c>
      <c r="CV1901" s="585" t="s">
        <v>1893</v>
      </c>
    </row>
    <row r="1902" spans="91:100" x14ac:dyDescent="0.25">
      <c r="CM1902" s="582"/>
      <c r="CN1902" s="584" t="s">
        <v>6127</v>
      </c>
      <c r="CO1902" s="584" t="s">
        <v>1913</v>
      </c>
      <c r="CP1902" s="584" t="s">
        <v>1888</v>
      </c>
      <c r="CQ1902" s="584" t="s">
        <v>5893</v>
      </c>
      <c r="CR1902" s="584" t="s">
        <v>5893</v>
      </c>
      <c r="CS1902" s="584" t="s">
        <v>1890</v>
      </c>
      <c r="CT1902" s="584" t="s">
        <v>6088</v>
      </c>
      <c r="CU1902" s="584" t="s">
        <v>1892</v>
      </c>
      <c r="CV1902" s="585" t="s">
        <v>1893</v>
      </c>
    </row>
    <row r="1903" spans="91:100" x14ac:dyDescent="0.25">
      <c r="CM1903" s="582"/>
      <c r="CN1903" s="584" t="s">
        <v>6128</v>
      </c>
      <c r="CO1903" s="584" t="s">
        <v>1913</v>
      </c>
      <c r="CP1903" s="584" t="s">
        <v>1888</v>
      </c>
      <c r="CQ1903" s="584" t="s">
        <v>6129</v>
      </c>
      <c r="CR1903" s="584" t="s">
        <v>6129</v>
      </c>
      <c r="CS1903" s="584" t="s">
        <v>1890</v>
      </c>
      <c r="CT1903" s="584" t="s">
        <v>6088</v>
      </c>
      <c r="CU1903" s="584" t="s">
        <v>1892</v>
      </c>
      <c r="CV1903" s="585" t="s">
        <v>1893</v>
      </c>
    </row>
    <row r="1904" spans="91:100" x14ac:dyDescent="0.25">
      <c r="CM1904" s="582"/>
      <c r="CN1904" s="584" t="s">
        <v>6130</v>
      </c>
      <c r="CO1904" s="584" t="s">
        <v>1913</v>
      </c>
      <c r="CP1904" s="584" t="s">
        <v>1888</v>
      </c>
      <c r="CQ1904" s="584" t="s">
        <v>6131</v>
      </c>
      <c r="CR1904" s="584" t="s">
        <v>6131</v>
      </c>
      <c r="CS1904" s="584" t="s">
        <v>1978</v>
      </c>
      <c r="CT1904" s="584" t="s">
        <v>1979</v>
      </c>
      <c r="CU1904" s="584" t="s">
        <v>1892</v>
      </c>
      <c r="CV1904" s="585" t="s">
        <v>1980</v>
      </c>
    </row>
    <row r="1905" spans="91:100" x14ac:dyDescent="0.25">
      <c r="CM1905" s="582"/>
      <c r="CN1905" s="584" t="s">
        <v>6132</v>
      </c>
      <c r="CO1905" s="584" t="s">
        <v>1913</v>
      </c>
      <c r="CP1905" s="584" t="s">
        <v>1888</v>
      </c>
      <c r="CQ1905" s="584" t="s">
        <v>6133</v>
      </c>
      <c r="CR1905" s="584" t="s">
        <v>6133</v>
      </c>
      <c r="CS1905" s="584" t="s">
        <v>1978</v>
      </c>
      <c r="CT1905" s="584" t="s">
        <v>1979</v>
      </c>
      <c r="CU1905" s="584" t="s">
        <v>1892</v>
      </c>
      <c r="CV1905" s="585" t="s">
        <v>1980</v>
      </c>
    </row>
    <row r="1906" spans="91:100" x14ac:dyDescent="0.25">
      <c r="CM1906" s="582"/>
      <c r="CN1906" s="584" t="s">
        <v>6134</v>
      </c>
      <c r="CO1906" s="584" t="s">
        <v>1913</v>
      </c>
      <c r="CP1906" s="584" t="s">
        <v>1888</v>
      </c>
      <c r="CQ1906" s="584" t="s">
        <v>6135</v>
      </c>
      <c r="CR1906" s="584" t="s">
        <v>6135</v>
      </c>
      <c r="CS1906" s="584" t="s">
        <v>1890</v>
      </c>
      <c r="CT1906" s="584" t="s">
        <v>6088</v>
      </c>
      <c r="CU1906" s="584" t="s">
        <v>1892</v>
      </c>
      <c r="CV1906" s="585" t="s">
        <v>1893</v>
      </c>
    </row>
    <row r="1907" spans="91:100" x14ac:dyDescent="0.25">
      <c r="CM1907" s="582"/>
      <c r="CN1907" s="584" t="s">
        <v>6136</v>
      </c>
      <c r="CO1907" s="584" t="s">
        <v>1913</v>
      </c>
      <c r="CP1907" s="584" t="s">
        <v>1888</v>
      </c>
      <c r="CQ1907" s="584" t="s">
        <v>6137</v>
      </c>
      <c r="CR1907" s="584" t="s">
        <v>6137</v>
      </c>
      <c r="CS1907" s="584" t="s">
        <v>1890</v>
      </c>
      <c r="CT1907" s="584" t="s">
        <v>6088</v>
      </c>
      <c r="CU1907" s="584" t="s">
        <v>1892</v>
      </c>
      <c r="CV1907" s="585" t="s">
        <v>1893</v>
      </c>
    </row>
    <row r="1908" spans="91:100" x14ac:dyDescent="0.25">
      <c r="CM1908" s="582"/>
      <c r="CN1908" s="584" t="s">
        <v>6138</v>
      </c>
      <c r="CO1908" s="584" t="s">
        <v>1913</v>
      </c>
      <c r="CP1908" s="584" t="s">
        <v>1888</v>
      </c>
      <c r="CQ1908" s="584" t="s">
        <v>6139</v>
      </c>
      <c r="CR1908" s="584" t="s">
        <v>6139</v>
      </c>
      <c r="CS1908" s="584" t="s">
        <v>1890</v>
      </c>
      <c r="CT1908" s="584" t="s">
        <v>6088</v>
      </c>
      <c r="CU1908" s="584" t="s">
        <v>1892</v>
      </c>
      <c r="CV1908" s="585" t="s">
        <v>1893</v>
      </c>
    </row>
    <row r="1909" spans="91:100" x14ac:dyDescent="0.25">
      <c r="CM1909" s="582"/>
      <c r="CN1909" s="584" t="s">
        <v>6140</v>
      </c>
      <c r="CO1909" s="584" t="s">
        <v>1913</v>
      </c>
      <c r="CP1909" s="584" t="s">
        <v>1888</v>
      </c>
      <c r="CQ1909" s="584" t="s">
        <v>6141</v>
      </c>
      <c r="CR1909" s="584" t="s">
        <v>6141</v>
      </c>
      <c r="CS1909" s="584" t="s">
        <v>1890</v>
      </c>
      <c r="CT1909" s="584" t="s">
        <v>6088</v>
      </c>
      <c r="CU1909" s="584" t="s">
        <v>1892</v>
      </c>
      <c r="CV1909" s="585" t="s">
        <v>1893</v>
      </c>
    </row>
    <row r="1910" spans="91:100" x14ac:dyDescent="0.25">
      <c r="CM1910" s="582"/>
      <c r="CN1910" s="584" t="s">
        <v>6142</v>
      </c>
      <c r="CO1910" s="584" t="s">
        <v>1913</v>
      </c>
      <c r="CP1910" s="584" t="s">
        <v>1888</v>
      </c>
      <c r="CQ1910" s="584" t="s">
        <v>6143</v>
      </c>
      <c r="CR1910" s="584" t="s">
        <v>6143</v>
      </c>
      <c r="CS1910" s="584" t="s">
        <v>1890</v>
      </c>
      <c r="CT1910" s="584" t="s">
        <v>6088</v>
      </c>
      <c r="CU1910" s="584" t="s">
        <v>1892</v>
      </c>
      <c r="CV1910" s="585" t="s">
        <v>1893</v>
      </c>
    </row>
    <row r="1911" spans="91:100" x14ac:dyDescent="0.25">
      <c r="CM1911" s="582"/>
      <c r="CN1911" s="584" t="s">
        <v>6144</v>
      </c>
      <c r="CO1911" s="584" t="s">
        <v>1913</v>
      </c>
      <c r="CP1911" s="584" t="s">
        <v>1888</v>
      </c>
      <c r="CQ1911" s="584" t="s">
        <v>6145</v>
      </c>
      <c r="CR1911" s="584" t="s">
        <v>6145</v>
      </c>
      <c r="CS1911" s="584" t="s">
        <v>1890</v>
      </c>
      <c r="CT1911" s="584" t="s">
        <v>6088</v>
      </c>
      <c r="CU1911" s="584" t="s">
        <v>1892</v>
      </c>
      <c r="CV1911" s="585" t="s">
        <v>1893</v>
      </c>
    </row>
    <row r="1912" spans="91:100" x14ac:dyDescent="0.25">
      <c r="CM1912" s="582"/>
      <c r="CN1912" s="584" t="s">
        <v>6146</v>
      </c>
      <c r="CO1912" s="584" t="s">
        <v>1913</v>
      </c>
      <c r="CP1912" s="584" t="s">
        <v>1888</v>
      </c>
      <c r="CQ1912" s="584" t="s">
        <v>6147</v>
      </c>
      <c r="CR1912" s="584" t="s">
        <v>6147</v>
      </c>
      <c r="CS1912" s="584" t="s">
        <v>1890</v>
      </c>
      <c r="CT1912" s="584" t="s">
        <v>6088</v>
      </c>
      <c r="CU1912" s="584" t="s">
        <v>1892</v>
      </c>
      <c r="CV1912" s="585" t="s">
        <v>1893</v>
      </c>
    </row>
    <row r="1913" spans="91:100" x14ac:dyDescent="0.25">
      <c r="CM1913" s="582"/>
      <c r="CN1913" s="584" t="s">
        <v>6148</v>
      </c>
      <c r="CO1913" s="584" t="s">
        <v>1913</v>
      </c>
      <c r="CP1913" s="584" t="s">
        <v>1888</v>
      </c>
      <c r="CQ1913" s="584" t="s">
        <v>6149</v>
      </c>
      <c r="CR1913" s="584" t="s">
        <v>6150</v>
      </c>
      <c r="CS1913" s="584" t="s">
        <v>1890</v>
      </c>
      <c r="CT1913" s="584" t="s">
        <v>6088</v>
      </c>
      <c r="CU1913" s="584" t="s">
        <v>1892</v>
      </c>
      <c r="CV1913" s="585" t="s">
        <v>1893</v>
      </c>
    </row>
    <row r="1914" spans="91:100" x14ac:dyDescent="0.25">
      <c r="CM1914" s="582"/>
      <c r="CN1914" s="584" t="s">
        <v>6151</v>
      </c>
      <c r="CO1914" s="584" t="s">
        <v>1913</v>
      </c>
      <c r="CP1914" s="584" t="s">
        <v>1888</v>
      </c>
      <c r="CQ1914" s="584" t="s">
        <v>6152</v>
      </c>
      <c r="CR1914" s="584" t="s">
        <v>6153</v>
      </c>
      <c r="CS1914" s="584" t="s">
        <v>1890</v>
      </c>
      <c r="CT1914" s="584" t="s">
        <v>6088</v>
      </c>
      <c r="CU1914" s="584" t="s">
        <v>1892</v>
      </c>
      <c r="CV1914" s="585" t="s">
        <v>1893</v>
      </c>
    </row>
    <row r="1915" spans="91:100" x14ac:dyDescent="0.25">
      <c r="CM1915" s="582"/>
      <c r="CN1915" s="584" t="s">
        <v>6154</v>
      </c>
      <c r="CO1915" s="584" t="s">
        <v>1913</v>
      </c>
      <c r="CP1915" s="584" t="s">
        <v>1888</v>
      </c>
      <c r="CQ1915" s="584" t="s">
        <v>6155</v>
      </c>
      <c r="CR1915" s="584" t="s">
        <v>6155</v>
      </c>
      <c r="CS1915" s="584" t="s">
        <v>1890</v>
      </c>
      <c r="CT1915" s="584" t="s">
        <v>6088</v>
      </c>
      <c r="CU1915" s="584" t="s">
        <v>1892</v>
      </c>
      <c r="CV1915" s="585" t="s">
        <v>1893</v>
      </c>
    </row>
    <row r="1916" spans="91:100" x14ac:dyDescent="0.25">
      <c r="CM1916" s="582"/>
      <c r="CN1916" s="584" t="s">
        <v>6156</v>
      </c>
      <c r="CO1916" s="584" t="s">
        <v>1913</v>
      </c>
      <c r="CP1916" s="584" t="s">
        <v>1888</v>
      </c>
      <c r="CQ1916" s="584" t="s">
        <v>6157</v>
      </c>
      <c r="CR1916" s="584" t="s">
        <v>6157</v>
      </c>
      <c r="CS1916" s="584" t="s">
        <v>1890</v>
      </c>
      <c r="CT1916" s="584" t="s">
        <v>6088</v>
      </c>
      <c r="CU1916" s="584" t="s">
        <v>1892</v>
      </c>
      <c r="CV1916" s="585" t="s">
        <v>1893</v>
      </c>
    </row>
    <row r="1917" spans="91:100" x14ac:dyDescent="0.25">
      <c r="CM1917" s="582"/>
      <c r="CN1917" s="584" t="s">
        <v>6158</v>
      </c>
      <c r="CO1917" s="584" t="s">
        <v>1913</v>
      </c>
      <c r="CP1917" s="584" t="s">
        <v>1888</v>
      </c>
      <c r="CQ1917" s="584" t="s">
        <v>6159</v>
      </c>
      <c r="CR1917" s="584" t="s">
        <v>6159</v>
      </c>
      <c r="CS1917" s="584" t="s">
        <v>1890</v>
      </c>
      <c r="CT1917" s="584" t="s">
        <v>6088</v>
      </c>
      <c r="CU1917" s="584" t="s">
        <v>1892</v>
      </c>
      <c r="CV1917" s="585" t="s">
        <v>1893</v>
      </c>
    </row>
    <row r="1918" spans="91:100" x14ac:dyDescent="0.25">
      <c r="CM1918" s="582"/>
      <c r="CN1918" s="584" t="s">
        <v>6160</v>
      </c>
      <c r="CO1918" s="584" t="s">
        <v>1913</v>
      </c>
      <c r="CP1918" s="584" t="s">
        <v>1888</v>
      </c>
      <c r="CQ1918" s="584" t="s">
        <v>6161</v>
      </c>
      <c r="CR1918" s="584" t="s">
        <v>6161</v>
      </c>
      <c r="CS1918" s="584" t="s">
        <v>1890</v>
      </c>
      <c r="CT1918" s="584" t="s">
        <v>6088</v>
      </c>
      <c r="CU1918" s="584" t="s">
        <v>1892</v>
      </c>
      <c r="CV1918" s="585" t="s">
        <v>1893</v>
      </c>
    </row>
    <row r="1919" spans="91:100" x14ac:dyDescent="0.25">
      <c r="CM1919" s="582"/>
      <c r="CN1919" s="584" t="s">
        <v>6162</v>
      </c>
      <c r="CO1919" s="584" t="s">
        <v>1913</v>
      </c>
      <c r="CP1919" s="584" t="s">
        <v>1888</v>
      </c>
      <c r="CQ1919" s="584" t="s">
        <v>6163</v>
      </c>
      <c r="CR1919" s="584" t="s">
        <v>6164</v>
      </c>
      <c r="CS1919" s="584" t="s">
        <v>1890</v>
      </c>
      <c r="CT1919" s="584" t="s">
        <v>6088</v>
      </c>
      <c r="CU1919" s="584" t="s">
        <v>1892</v>
      </c>
      <c r="CV1919" s="585" t="s">
        <v>1893</v>
      </c>
    </row>
    <row r="1920" spans="91:100" x14ac:dyDescent="0.25">
      <c r="CM1920" s="582"/>
      <c r="CN1920" s="584" t="s">
        <v>6165</v>
      </c>
      <c r="CO1920" s="584" t="s">
        <v>1913</v>
      </c>
      <c r="CP1920" s="584" t="s">
        <v>1888</v>
      </c>
      <c r="CQ1920" s="584" t="s">
        <v>6166</v>
      </c>
      <c r="CR1920" s="584" t="s">
        <v>6167</v>
      </c>
      <c r="CS1920" s="584" t="s">
        <v>1890</v>
      </c>
      <c r="CT1920" s="584" t="s">
        <v>6088</v>
      </c>
      <c r="CU1920" s="584" t="s">
        <v>1892</v>
      </c>
      <c r="CV1920" s="585" t="s">
        <v>1893</v>
      </c>
    </row>
    <row r="1921" spans="91:100" x14ac:dyDescent="0.25">
      <c r="CM1921" s="582"/>
      <c r="CN1921" s="584" t="s">
        <v>6168</v>
      </c>
      <c r="CO1921" s="584" t="s">
        <v>1913</v>
      </c>
      <c r="CP1921" s="584" t="s">
        <v>1888</v>
      </c>
      <c r="CQ1921" s="584" t="s">
        <v>6169</v>
      </c>
      <c r="CR1921" s="584" t="s">
        <v>6170</v>
      </c>
      <c r="CS1921" s="584" t="s">
        <v>1890</v>
      </c>
      <c r="CT1921" s="584" t="s">
        <v>6088</v>
      </c>
      <c r="CU1921" s="584" t="s">
        <v>1892</v>
      </c>
      <c r="CV1921" s="585" t="s">
        <v>1893</v>
      </c>
    </row>
    <row r="1922" spans="91:100" x14ac:dyDescent="0.25">
      <c r="CM1922" s="582"/>
      <c r="CN1922" s="584" t="s">
        <v>6171</v>
      </c>
      <c r="CO1922" s="584" t="s">
        <v>1913</v>
      </c>
      <c r="CP1922" s="584" t="s">
        <v>1888</v>
      </c>
      <c r="CQ1922" s="584" t="s">
        <v>6172</v>
      </c>
      <c r="CR1922" s="584" t="s">
        <v>6172</v>
      </c>
      <c r="CS1922" s="584" t="s">
        <v>1978</v>
      </c>
      <c r="CT1922" s="584" t="s">
        <v>1979</v>
      </c>
      <c r="CU1922" s="584" t="s">
        <v>1892</v>
      </c>
      <c r="CV1922" s="585" t="s">
        <v>1980</v>
      </c>
    </row>
    <row r="1923" spans="91:100" x14ac:dyDescent="0.25">
      <c r="CM1923" s="582"/>
      <c r="CN1923" s="584" t="s">
        <v>6173</v>
      </c>
      <c r="CO1923" s="584" t="s">
        <v>1913</v>
      </c>
      <c r="CP1923" s="584" t="s">
        <v>1888</v>
      </c>
      <c r="CQ1923" s="584" t="s">
        <v>6174</v>
      </c>
      <c r="CR1923" s="584" t="s">
        <v>6174</v>
      </c>
      <c r="CS1923" s="584" t="s">
        <v>1890</v>
      </c>
      <c r="CT1923" s="584" t="s">
        <v>6088</v>
      </c>
      <c r="CU1923" s="584" t="s">
        <v>1892</v>
      </c>
      <c r="CV1923" s="585" t="s">
        <v>1893</v>
      </c>
    </row>
    <row r="1924" spans="91:100" x14ac:dyDescent="0.25">
      <c r="CM1924" s="582"/>
      <c r="CN1924" s="584" t="s">
        <v>6175</v>
      </c>
      <c r="CO1924" s="584" t="s">
        <v>1913</v>
      </c>
      <c r="CP1924" s="584" t="s">
        <v>1888</v>
      </c>
      <c r="CQ1924" s="584" t="s">
        <v>6176</v>
      </c>
      <c r="CR1924" s="584" t="s">
        <v>6176</v>
      </c>
      <c r="CS1924" s="584" t="s">
        <v>1890</v>
      </c>
      <c r="CT1924" s="584" t="s">
        <v>6088</v>
      </c>
      <c r="CU1924" s="584" t="s">
        <v>1892</v>
      </c>
      <c r="CV1924" s="585" t="s">
        <v>1893</v>
      </c>
    </row>
    <row r="1925" spans="91:100" x14ac:dyDescent="0.25">
      <c r="CM1925" s="582"/>
      <c r="CN1925" s="584" t="s">
        <v>6177</v>
      </c>
      <c r="CO1925" s="584" t="s">
        <v>1913</v>
      </c>
      <c r="CP1925" s="584" t="s">
        <v>1888</v>
      </c>
      <c r="CQ1925" s="584" t="s">
        <v>6178</v>
      </c>
      <c r="CR1925" s="584" t="s">
        <v>6178</v>
      </c>
      <c r="CS1925" s="584" t="s">
        <v>1978</v>
      </c>
      <c r="CT1925" s="584" t="s">
        <v>1979</v>
      </c>
      <c r="CU1925" s="584" t="s">
        <v>1892</v>
      </c>
      <c r="CV1925" s="585" t="s">
        <v>1980</v>
      </c>
    </row>
    <row r="1926" spans="91:100" x14ac:dyDescent="0.25">
      <c r="CM1926" s="582"/>
      <c r="CN1926" s="584" t="s">
        <v>6179</v>
      </c>
      <c r="CO1926" s="584" t="s">
        <v>1913</v>
      </c>
      <c r="CP1926" s="584" t="s">
        <v>1888</v>
      </c>
      <c r="CQ1926" s="584" t="s">
        <v>6180</v>
      </c>
      <c r="CR1926" s="584" t="s">
        <v>6180</v>
      </c>
      <c r="CS1926" s="584" t="s">
        <v>1978</v>
      </c>
      <c r="CT1926" s="584" t="s">
        <v>1979</v>
      </c>
      <c r="CU1926" s="584" t="s">
        <v>1892</v>
      </c>
      <c r="CV1926" s="585" t="s">
        <v>1980</v>
      </c>
    </row>
    <row r="1927" spans="91:100" x14ac:dyDescent="0.25">
      <c r="CM1927" s="582"/>
      <c r="CN1927" s="584" t="s">
        <v>6181</v>
      </c>
      <c r="CO1927" s="584" t="s">
        <v>1913</v>
      </c>
      <c r="CP1927" s="584" t="s">
        <v>1888</v>
      </c>
      <c r="CQ1927" s="584" t="s">
        <v>6182</v>
      </c>
      <c r="CR1927" s="584" t="s">
        <v>6182</v>
      </c>
      <c r="CS1927" s="584" t="s">
        <v>1890</v>
      </c>
      <c r="CT1927" s="584" t="s">
        <v>6088</v>
      </c>
      <c r="CU1927" s="584" t="s">
        <v>1892</v>
      </c>
      <c r="CV1927" s="585" t="s">
        <v>1893</v>
      </c>
    </row>
    <row r="1928" spans="91:100" x14ac:dyDescent="0.25">
      <c r="CM1928" s="582"/>
      <c r="CN1928" s="584" t="s">
        <v>6183</v>
      </c>
      <c r="CO1928" s="584" t="s">
        <v>1913</v>
      </c>
      <c r="CP1928" s="584" t="s">
        <v>1888</v>
      </c>
      <c r="CQ1928" s="584" t="s">
        <v>6184</v>
      </c>
      <c r="CR1928" s="584" t="s">
        <v>6184</v>
      </c>
      <c r="CS1928" s="584" t="s">
        <v>1890</v>
      </c>
      <c r="CT1928" s="584" t="s">
        <v>6088</v>
      </c>
      <c r="CU1928" s="584" t="s">
        <v>1892</v>
      </c>
      <c r="CV1928" s="585" t="s">
        <v>1893</v>
      </c>
    </row>
    <row r="1929" spans="91:100" x14ac:dyDescent="0.25">
      <c r="CM1929" s="582"/>
      <c r="CN1929" s="584" t="s">
        <v>6185</v>
      </c>
      <c r="CO1929" s="584" t="s">
        <v>1913</v>
      </c>
      <c r="CP1929" s="584" t="s">
        <v>1888</v>
      </c>
      <c r="CQ1929" s="584" t="s">
        <v>6186</v>
      </c>
      <c r="CR1929" s="584" t="s">
        <v>6186</v>
      </c>
      <c r="CS1929" s="584" t="s">
        <v>1890</v>
      </c>
      <c r="CT1929" s="584" t="s">
        <v>6088</v>
      </c>
      <c r="CU1929" s="584" t="s">
        <v>1892</v>
      </c>
      <c r="CV1929" s="585" t="s">
        <v>1893</v>
      </c>
    </row>
    <row r="1930" spans="91:100" x14ac:dyDescent="0.25">
      <c r="CM1930" s="582"/>
      <c r="CN1930" s="584" t="s">
        <v>6187</v>
      </c>
      <c r="CO1930" s="584" t="s">
        <v>1913</v>
      </c>
      <c r="CP1930" s="584" t="s">
        <v>1888</v>
      </c>
      <c r="CQ1930" s="584" t="s">
        <v>6188</v>
      </c>
      <c r="CR1930" s="584" t="s">
        <v>6188</v>
      </c>
      <c r="CS1930" s="584" t="s">
        <v>1890</v>
      </c>
      <c r="CT1930" s="584" t="s">
        <v>6088</v>
      </c>
      <c r="CU1930" s="584" t="s">
        <v>1892</v>
      </c>
      <c r="CV1930" s="585" t="s">
        <v>1893</v>
      </c>
    </row>
    <row r="1931" spans="91:100" x14ac:dyDescent="0.25">
      <c r="CM1931" s="582"/>
      <c r="CN1931" s="584" t="s">
        <v>6189</v>
      </c>
      <c r="CO1931" s="584" t="s">
        <v>1913</v>
      </c>
      <c r="CP1931" s="584" t="s">
        <v>1888</v>
      </c>
      <c r="CQ1931" s="584" t="s">
        <v>6190</v>
      </c>
      <c r="CR1931" s="584" t="s">
        <v>6191</v>
      </c>
      <c r="CS1931" s="584" t="s">
        <v>1890</v>
      </c>
      <c r="CT1931" s="584" t="s">
        <v>6088</v>
      </c>
      <c r="CU1931" s="584" t="s">
        <v>1892</v>
      </c>
      <c r="CV1931" s="585" t="s">
        <v>1893</v>
      </c>
    </row>
    <row r="1932" spans="91:100" x14ac:dyDescent="0.25">
      <c r="CM1932" s="582"/>
      <c r="CN1932" s="584" t="s">
        <v>6192</v>
      </c>
      <c r="CO1932" s="584" t="s">
        <v>1913</v>
      </c>
      <c r="CP1932" s="584" t="s">
        <v>1888</v>
      </c>
      <c r="CQ1932" s="584" t="s">
        <v>6193</v>
      </c>
      <c r="CR1932" s="584" t="s">
        <v>6194</v>
      </c>
      <c r="CS1932" s="584" t="s">
        <v>1890</v>
      </c>
      <c r="CT1932" s="584" t="s">
        <v>6088</v>
      </c>
      <c r="CU1932" s="584" t="s">
        <v>1892</v>
      </c>
      <c r="CV1932" s="585" t="s">
        <v>1893</v>
      </c>
    </row>
    <row r="1933" spans="91:100" x14ac:dyDescent="0.25">
      <c r="CM1933" s="582"/>
      <c r="CN1933" s="584" t="s">
        <v>6195</v>
      </c>
      <c r="CO1933" s="584" t="s">
        <v>1913</v>
      </c>
      <c r="CP1933" s="584" t="s">
        <v>1888</v>
      </c>
      <c r="CQ1933" s="584" t="s">
        <v>6196</v>
      </c>
      <c r="CR1933" s="584" t="s">
        <v>6197</v>
      </c>
      <c r="CS1933" s="584" t="s">
        <v>1890</v>
      </c>
      <c r="CT1933" s="584" t="s">
        <v>6088</v>
      </c>
      <c r="CU1933" s="584" t="s">
        <v>1892</v>
      </c>
      <c r="CV1933" s="585" t="s">
        <v>1893</v>
      </c>
    </row>
    <row r="1934" spans="91:100" x14ac:dyDescent="0.25">
      <c r="CM1934" s="582"/>
      <c r="CN1934" s="584" t="s">
        <v>6198</v>
      </c>
      <c r="CO1934" s="584" t="s">
        <v>1913</v>
      </c>
      <c r="CP1934" s="584" t="s">
        <v>1888</v>
      </c>
      <c r="CQ1934" s="584" t="s">
        <v>6199</v>
      </c>
      <c r="CR1934" s="584" t="s">
        <v>6200</v>
      </c>
      <c r="CS1934" s="584" t="s">
        <v>1890</v>
      </c>
      <c r="CT1934" s="584" t="s">
        <v>6088</v>
      </c>
      <c r="CU1934" s="584" t="s">
        <v>1892</v>
      </c>
      <c r="CV1934" s="585" t="s">
        <v>1893</v>
      </c>
    </row>
    <row r="1935" spans="91:100" x14ac:dyDescent="0.25">
      <c r="CM1935" s="582"/>
      <c r="CN1935" s="584" t="s">
        <v>6201</v>
      </c>
      <c r="CO1935" s="584" t="s">
        <v>1913</v>
      </c>
      <c r="CP1935" s="584" t="s">
        <v>1888</v>
      </c>
      <c r="CQ1935" s="584" t="s">
        <v>6202</v>
      </c>
      <c r="CR1935" s="584" t="s">
        <v>6202</v>
      </c>
      <c r="CS1935" s="584" t="s">
        <v>1978</v>
      </c>
      <c r="CT1935" s="584" t="s">
        <v>1979</v>
      </c>
      <c r="CU1935" s="584" t="s">
        <v>1892</v>
      </c>
      <c r="CV1935" s="585" t="s">
        <v>1980</v>
      </c>
    </row>
    <row r="1936" spans="91:100" x14ac:dyDescent="0.25">
      <c r="CM1936" s="582"/>
      <c r="CN1936" s="584" t="s">
        <v>6203</v>
      </c>
      <c r="CO1936" s="584" t="s">
        <v>1913</v>
      </c>
      <c r="CP1936" s="584" t="s">
        <v>1888</v>
      </c>
      <c r="CQ1936" s="584" t="s">
        <v>6204</v>
      </c>
      <c r="CR1936" s="584" t="s">
        <v>6204</v>
      </c>
      <c r="CS1936" s="584" t="s">
        <v>1978</v>
      </c>
      <c r="CT1936" s="584" t="s">
        <v>1979</v>
      </c>
      <c r="CU1936" s="584" t="s">
        <v>1892</v>
      </c>
      <c r="CV1936" s="585" t="s">
        <v>1980</v>
      </c>
    </row>
    <row r="1937" spans="91:100" x14ac:dyDescent="0.25">
      <c r="CM1937" s="582"/>
      <c r="CN1937" s="584" t="s">
        <v>6205</v>
      </c>
      <c r="CO1937" s="584" t="s">
        <v>1913</v>
      </c>
      <c r="CP1937" s="584" t="s">
        <v>2325</v>
      </c>
      <c r="CQ1937" s="584" t="s">
        <v>6206</v>
      </c>
      <c r="CR1937" s="584" t="s">
        <v>6206</v>
      </c>
      <c r="CS1937" s="584" t="s">
        <v>1890</v>
      </c>
      <c r="CT1937" s="584" t="s">
        <v>5816</v>
      </c>
      <c r="CU1937" s="584" t="s">
        <v>1892</v>
      </c>
      <c r="CV1937" s="585" t="s">
        <v>1893</v>
      </c>
    </row>
    <row r="1938" spans="91:100" x14ac:dyDescent="0.25">
      <c r="CM1938" s="582"/>
      <c r="CN1938" s="584" t="s">
        <v>6207</v>
      </c>
      <c r="CO1938" s="584" t="s">
        <v>1913</v>
      </c>
      <c r="CP1938" s="584" t="s">
        <v>2325</v>
      </c>
      <c r="CQ1938" s="584" t="s">
        <v>6208</v>
      </c>
      <c r="CR1938" s="584" t="s">
        <v>6208</v>
      </c>
      <c r="CS1938" s="584" t="s">
        <v>1890</v>
      </c>
      <c r="CT1938" s="584" t="s">
        <v>5816</v>
      </c>
      <c r="CU1938" s="584" t="s">
        <v>1892</v>
      </c>
      <c r="CV1938" s="585" t="s">
        <v>1893</v>
      </c>
    </row>
    <row r="1939" spans="91:100" x14ac:dyDescent="0.25">
      <c r="CM1939" s="582"/>
      <c r="CN1939" s="584" t="s">
        <v>6209</v>
      </c>
      <c r="CO1939" s="584" t="s">
        <v>1913</v>
      </c>
      <c r="CP1939" s="584" t="s">
        <v>2325</v>
      </c>
      <c r="CQ1939" s="584" t="s">
        <v>6210</v>
      </c>
      <c r="CR1939" s="584" t="s">
        <v>6211</v>
      </c>
      <c r="CS1939" s="584" t="s">
        <v>1890</v>
      </c>
      <c r="CT1939" s="584" t="s">
        <v>5816</v>
      </c>
      <c r="CU1939" s="584" t="s">
        <v>1892</v>
      </c>
      <c r="CV1939" s="585" t="s">
        <v>1893</v>
      </c>
    </row>
    <row r="1940" spans="91:100" x14ac:dyDescent="0.25">
      <c r="CM1940" s="582"/>
      <c r="CN1940" s="584" t="s">
        <v>6212</v>
      </c>
      <c r="CO1940" s="584" t="s">
        <v>1913</v>
      </c>
      <c r="CP1940" s="584" t="s">
        <v>2325</v>
      </c>
      <c r="CQ1940" s="584" t="s">
        <v>6213</v>
      </c>
      <c r="CR1940" s="584" t="s">
        <v>6214</v>
      </c>
      <c r="CS1940" s="584" t="s">
        <v>1890</v>
      </c>
      <c r="CT1940" s="584" t="s">
        <v>5816</v>
      </c>
      <c r="CU1940" s="584" t="s">
        <v>1892</v>
      </c>
      <c r="CV1940" s="585" t="s">
        <v>1893</v>
      </c>
    </row>
    <row r="1941" spans="91:100" x14ac:dyDescent="0.25">
      <c r="CM1941" s="582"/>
      <c r="CN1941" s="584" t="s">
        <v>6215</v>
      </c>
      <c r="CO1941" s="584" t="s">
        <v>1913</v>
      </c>
      <c r="CP1941" s="584" t="s">
        <v>2325</v>
      </c>
      <c r="CQ1941" s="584" t="s">
        <v>5861</v>
      </c>
      <c r="CR1941" s="584" t="s">
        <v>5862</v>
      </c>
      <c r="CS1941" s="584" t="s">
        <v>1890</v>
      </c>
      <c r="CT1941" s="584" t="s">
        <v>5816</v>
      </c>
      <c r="CU1941" s="584" t="s">
        <v>1892</v>
      </c>
      <c r="CV1941" s="585" t="s">
        <v>1893</v>
      </c>
    </row>
    <row r="1942" spans="91:100" x14ac:dyDescent="0.25">
      <c r="CM1942" s="582"/>
      <c r="CN1942" s="584" t="s">
        <v>6216</v>
      </c>
      <c r="CO1942" s="584" t="s">
        <v>1913</v>
      </c>
      <c r="CP1942" s="584" t="s">
        <v>2325</v>
      </c>
      <c r="CQ1942" s="584" t="s">
        <v>6217</v>
      </c>
      <c r="CR1942" s="584" t="s">
        <v>6217</v>
      </c>
      <c r="CS1942" s="584" t="s">
        <v>1890</v>
      </c>
      <c r="CT1942" s="584" t="s">
        <v>5816</v>
      </c>
      <c r="CU1942" s="584" t="s">
        <v>1892</v>
      </c>
      <c r="CV1942" s="585" t="s">
        <v>1893</v>
      </c>
    </row>
    <row r="1943" spans="91:100" x14ac:dyDescent="0.25">
      <c r="CM1943" s="582"/>
      <c r="CN1943" s="584" t="s">
        <v>6218</v>
      </c>
      <c r="CO1943" s="584" t="s">
        <v>1913</v>
      </c>
      <c r="CP1943" s="584" t="s">
        <v>2325</v>
      </c>
      <c r="CQ1943" s="584" t="s">
        <v>6219</v>
      </c>
      <c r="CR1943" s="584" t="s">
        <v>6219</v>
      </c>
      <c r="CS1943" s="584" t="s">
        <v>1890</v>
      </c>
      <c r="CT1943" s="584" t="s">
        <v>5816</v>
      </c>
      <c r="CU1943" s="584" t="s">
        <v>1892</v>
      </c>
      <c r="CV1943" s="585" t="s">
        <v>1893</v>
      </c>
    </row>
    <row r="1944" spans="91:100" x14ac:dyDescent="0.25">
      <c r="CM1944" s="582"/>
      <c r="CN1944" s="584" t="s">
        <v>6220</v>
      </c>
      <c r="CO1944" s="584" t="s">
        <v>1913</v>
      </c>
      <c r="CP1944" s="584" t="s">
        <v>2325</v>
      </c>
      <c r="CQ1944" s="584" t="s">
        <v>6221</v>
      </c>
      <c r="CR1944" s="584" t="s">
        <v>6221</v>
      </c>
      <c r="CS1944" s="584" t="s">
        <v>1890</v>
      </c>
      <c r="CT1944" s="584" t="s">
        <v>5816</v>
      </c>
      <c r="CU1944" s="584" t="s">
        <v>1892</v>
      </c>
      <c r="CV1944" s="585" t="s">
        <v>1893</v>
      </c>
    </row>
    <row r="1945" spans="91:100" x14ac:dyDescent="0.25">
      <c r="CM1945" s="582"/>
      <c r="CN1945" s="584" t="s">
        <v>6222</v>
      </c>
      <c r="CO1945" s="584" t="s">
        <v>1913</v>
      </c>
      <c r="CP1945" s="584" t="s">
        <v>2325</v>
      </c>
      <c r="CQ1945" s="584" t="s">
        <v>5897</v>
      </c>
      <c r="CR1945" s="584" t="s">
        <v>5897</v>
      </c>
      <c r="CS1945" s="584" t="s">
        <v>1890</v>
      </c>
      <c r="CT1945" s="584" t="s">
        <v>5816</v>
      </c>
      <c r="CU1945" s="584" t="s">
        <v>1892</v>
      </c>
      <c r="CV1945" s="585" t="s">
        <v>1893</v>
      </c>
    </row>
    <row r="1946" spans="91:100" x14ac:dyDescent="0.25">
      <c r="CM1946" s="582"/>
      <c r="CN1946" s="584" t="s">
        <v>6223</v>
      </c>
      <c r="CO1946" s="584" t="s">
        <v>1913</v>
      </c>
      <c r="CP1946" s="584" t="s">
        <v>2325</v>
      </c>
      <c r="CQ1946" s="584" t="s">
        <v>6224</v>
      </c>
      <c r="CR1946" s="584" t="s">
        <v>6224</v>
      </c>
      <c r="CS1946" s="584" t="s">
        <v>1890</v>
      </c>
      <c r="CT1946" s="584" t="s">
        <v>5816</v>
      </c>
      <c r="CU1946" s="584" t="s">
        <v>1892</v>
      </c>
      <c r="CV1946" s="585" t="s">
        <v>1893</v>
      </c>
    </row>
    <row r="1947" spans="91:100" x14ac:dyDescent="0.25">
      <c r="CM1947" s="582"/>
      <c r="CN1947" s="584" t="s">
        <v>6225</v>
      </c>
      <c r="CO1947" s="584" t="s">
        <v>1913</v>
      </c>
      <c r="CP1947" s="584" t="s">
        <v>2325</v>
      </c>
      <c r="CQ1947" s="584" t="s">
        <v>6226</v>
      </c>
      <c r="CR1947" s="584" t="s">
        <v>6226</v>
      </c>
      <c r="CS1947" s="584" t="s">
        <v>1890</v>
      </c>
      <c r="CT1947" s="584" t="s">
        <v>5816</v>
      </c>
      <c r="CU1947" s="584" t="s">
        <v>1892</v>
      </c>
      <c r="CV1947" s="585" t="s">
        <v>1893</v>
      </c>
    </row>
    <row r="1948" spans="91:100" x14ac:dyDescent="0.25">
      <c r="CM1948" s="582"/>
      <c r="CN1948" s="584" t="s">
        <v>6227</v>
      </c>
      <c r="CO1948" s="584" t="s">
        <v>1913</v>
      </c>
      <c r="CP1948" s="584" t="s">
        <v>2325</v>
      </c>
      <c r="CQ1948" s="584" t="s">
        <v>6228</v>
      </c>
      <c r="CR1948" s="584" t="s">
        <v>6228</v>
      </c>
      <c r="CS1948" s="584" t="s">
        <v>1890</v>
      </c>
      <c r="CT1948" s="584" t="s">
        <v>5816</v>
      </c>
      <c r="CU1948" s="584" t="s">
        <v>1892</v>
      </c>
      <c r="CV1948" s="585" t="s">
        <v>1893</v>
      </c>
    </row>
    <row r="1949" spans="91:100" x14ac:dyDescent="0.25">
      <c r="CM1949" s="582"/>
      <c r="CN1949" s="584" t="s">
        <v>6229</v>
      </c>
      <c r="CO1949" s="584" t="s">
        <v>1913</v>
      </c>
      <c r="CP1949" s="584" t="s">
        <v>2325</v>
      </c>
      <c r="CQ1949" s="584" t="s">
        <v>6230</v>
      </c>
      <c r="CR1949" s="584" t="s">
        <v>6231</v>
      </c>
      <c r="CS1949" s="584" t="s">
        <v>1890</v>
      </c>
      <c r="CT1949" s="584" t="s">
        <v>5816</v>
      </c>
      <c r="CU1949" s="584" t="s">
        <v>1892</v>
      </c>
      <c r="CV1949" s="585" t="s">
        <v>1893</v>
      </c>
    </row>
    <row r="1950" spans="91:100" x14ac:dyDescent="0.25">
      <c r="CM1950" s="582"/>
      <c r="CN1950" s="584" t="s">
        <v>6232</v>
      </c>
      <c r="CO1950" s="584" t="s">
        <v>1913</v>
      </c>
      <c r="CP1950" s="584" t="s">
        <v>2325</v>
      </c>
      <c r="CQ1950" s="584" t="s">
        <v>6233</v>
      </c>
      <c r="CR1950" s="584" t="s">
        <v>6233</v>
      </c>
      <c r="CS1950" s="584" t="s">
        <v>1890</v>
      </c>
      <c r="CT1950" s="584" t="s">
        <v>5816</v>
      </c>
      <c r="CU1950" s="584" t="s">
        <v>1892</v>
      </c>
      <c r="CV1950" s="585" t="s">
        <v>1893</v>
      </c>
    </row>
    <row r="1951" spans="91:100" x14ac:dyDescent="0.25">
      <c r="CM1951" s="582"/>
      <c r="CN1951" s="584" t="s">
        <v>6234</v>
      </c>
      <c r="CO1951" s="584" t="s">
        <v>1913</v>
      </c>
      <c r="CP1951" s="584" t="s">
        <v>2325</v>
      </c>
      <c r="CQ1951" s="584" t="s">
        <v>6235</v>
      </c>
      <c r="CR1951" s="584" t="s">
        <v>6235</v>
      </c>
      <c r="CS1951" s="584" t="s">
        <v>1890</v>
      </c>
      <c r="CT1951" s="584" t="s">
        <v>5816</v>
      </c>
      <c r="CU1951" s="584" t="s">
        <v>1892</v>
      </c>
      <c r="CV1951" s="585" t="s">
        <v>1893</v>
      </c>
    </row>
    <row r="1952" spans="91:100" x14ac:dyDescent="0.25">
      <c r="CM1952" s="582"/>
      <c r="CN1952" s="584" t="s">
        <v>6236</v>
      </c>
      <c r="CO1952" s="584" t="s">
        <v>1913</v>
      </c>
      <c r="CP1952" s="584" t="s">
        <v>2325</v>
      </c>
      <c r="CQ1952" s="584" t="s">
        <v>6237</v>
      </c>
      <c r="CR1952" s="584" t="s">
        <v>6237</v>
      </c>
      <c r="CS1952" s="584" t="s">
        <v>1890</v>
      </c>
      <c r="CT1952" s="584" t="s">
        <v>5816</v>
      </c>
      <c r="CU1952" s="584" t="s">
        <v>1892</v>
      </c>
      <c r="CV1952" s="585" t="s">
        <v>1893</v>
      </c>
    </row>
    <row r="1953" spans="91:100" x14ac:dyDescent="0.25">
      <c r="CM1953" s="582"/>
      <c r="CN1953" s="584" t="s">
        <v>6238</v>
      </c>
      <c r="CO1953" s="584" t="s">
        <v>1913</v>
      </c>
      <c r="CP1953" s="584" t="s">
        <v>2325</v>
      </c>
      <c r="CQ1953" s="584" t="s">
        <v>6239</v>
      </c>
      <c r="CR1953" s="584" t="s">
        <v>6239</v>
      </c>
      <c r="CS1953" s="584" t="s">
        <v>1890</v>
      </c>
      <c r="CT1953" s="584" t="s">
        <v>5816</v>
      </c>
      <c r="CU1953" s="584" t="s">
        <v>1892</v>
      </c>
      <c r="CV1953" s="585" t="s">
        <v>1893</v>
      </c>
    </row>
    <row r="1954" spans="91:100" x14ac:dyDescent="0.25">
      <c r="CM1954" s="582"/>
      <c r="CN1954" s="584" t="s">
        <v>6240</v>
      </c>
      <c r="CO1954" s="584" t="s">
        <v>1913</v>
      </c>
      <c r="CP1954" s="584" t="s">
        <v>2325</v>
      </c>
      <c r="CQ1954" s="584" t="s">
        <v>6241</v>
      </c>
      <c r="CR1954" s="584" t="s">
        <v>6241</v>
      </c>
      <c r="CS1954" s="584" t="s">
        <v>1890</v>
      </c>
      <c r="CT1954" s="584" t="s">
        <v>5816</v>
      </c>
      <c r="CU1954" s="584" t="s">
        <v>1892</v>
      </c>
      <c r="CV1954" s="585" t="s">
        <v>1893</v>
      </c>
    </row>
    <row r="1955" spans="91:100" x14ac:dyDescent="0.25">
      <c r="CM1955" s="582"/>
      <c r="CN1955" s="584" t="s">
        <v>6242</v>
      </c>
      <c r="CO1955" s="584" t="s">
        <v>1913</v>
      </c>
      <c r="CP1955" s="584" t="s">
        <v>2325</v>
      </c>
      <c r="CQ1955" s="584" t="s">
        <v>6243</v>
      </c>
      <c r="CR1955" s="584" t="s">
        <v>6243</v>
      </c>
      <c r="CS1955" s="584" t="s">
        <v>1890</v>
      </c>
      <c r="CT1955" s="584" t="s">
        <v>5816</v>
      </c>
      <c r="CU1955" s="584" t="s">
        <v>1892</v>
      </c>
      <c r="CV1955" s="585" t="s">
        <v>1893</v>
      </c>
    </row>
    <row r="1956" spans="91:100" x14ac:dyDescent="0.25">
      <c r="CM1956" s="582"/>
      <c r="CN1956" s="584" t="s">
        <v>6244</v>
      </c>
      <c r="CO1956" s="584" t="s">
        <v>1913</v>
      </c>
      <c r="CP1956" s="584" t="s">
        <v>2325</v>
      </c>
      <c r="CQ1956" s="584" t="s">
        <v>6245</v>
      </c>
      <c r="CR1956" s="584" t="s">
        <v>6245</v>
      </c>
      <c r="CS1956" s="584" t="s">
        <v>1890</v>
      </c>
      <c r="CT1956" s="584" t="s">
        <v>5816</v>
      </c>
      <c r="CU1956" s="584" t="s">
        <v>1892</v>
      </c>
      <c r="CV1956" s="585" t="s">
        <v>1893</v>
      </c>
    </row>
    <row r="1957" spans="91:100" x14ac:dyDescent="0.25">
      <c r="CM1957" s="582"/>
      <c r="CN1957" s="584" t="s">
        <v>6246</v>
      </c>
      <c r="CO1957" s="584" t="s">
        <v>1913</v>
      </c>
      <c r="CP1957" s="584" t="s">
        <v>2325</v>
      </c>
      <c r="CQ1957" s="584" t="s">
        <v>6247</v>
      </c>
      <c r="CR1957" s="584" t="s">
        <v>6247</v>
      </c>
      <c r="CS1957" s="584" t="s">
        <v>1890</v>
      </c>
      <c r="CT1957" s="584" t="s">
        <v>5816</v>
      </c>
      <c r="CU1957" s="584" t="s">
        <v>1892</v>
      </c>
      <c r="CV1957" s="585" t="s">
        <v>1893</v>
      </c>
    </row>
    <row r="1958" spans="91:100" x14ac:dyDescent="0.25">
      <c r="CM1958" s="582"/>
      <c r="CN1958" s="584" t="s">
        <v>6248</v>
      </c>
      <c r="CO1958" s="584" t="s">
        <v>1913</v>
      </c>
      <c r="CP1958" s="584" t="s">
        <v>2325</v>
      </c>
      <c r="CQ1958" s="584" t="s">
        <v>6249</v>
      </c>
      <c r="CR1958" s="584" t="s">
        <v>6249</v>
      </c>
      <c r="CS1958" s="584" t="s">
        <v>1890</v>
      </c>
      <c r="CT1958" s="584" t="s">
        <v>5816</v>
      </c>
      <c r="CU1958" s="584" t="s">
        <v>1892</v>
      </c>
      <c r="CV1958" s="585" t="s">
        <v>1893</v>
      </c>
    </row>
    <row r="1959" spans="91:100" x14ac:dyDescent="0.25">
      <c r="CM1959" s="582"/>
      <c r="CN1959" s="584" t="s">
        <v>6250</v>
      </c>
      <c r="CO1959" s="584" t="s">
        <v>1913</v>
      </c>
      <c r="CP1959" s="584" t="s">
        <v>2325</v>
      </c>
      <c r="CQ1959" s="584" t="s">
        <v>6251</v>
      </c>
      <c r="CR1959" s="584" t="s">
        <v>6251</v>
      </c>
      <c r="CS1959" s="584" t="s">
        <v>1890</v>
      </c>
      <c r="CT1959" s="584" t="s">
        <v>5816</v>
      </c>
      <c r="CU1959" s="584" t="s">
        <v>1892</v>
      </c>
      <c r="CV1959" s="585" t="s">
        <v>1893</v>
      </c>
    </row>
    <row r="1960" spans="91:100" x14ac:dyDescent="0.25">
      <c r="CM1960" s="582"/>
      <c r="CN1960" s="584" t="s">
        <v>6252</v>
      </c>
      <c r="CO1960" s="584" t="s">
        <v>1913</v>
      </c>
      <c r="CP1960" s="584" t="s">
        <v>2535</v>
      </c>
      <c r="CQ1960" s="584" t="s">
        <v>6253</v>
      </c>
      <c r="CR1960" s="584" t="s">
        <v>6253</v>
      </c>
      <c r="CS1960" s="584" t="s">
        <v>1890</v>
      </c>
      <c r="CT1960" s="584" t="s">
        <v>4970</v>
      </c>
      <c r="CU1960" s="584" t="s">
        <v>1892</v>
      </c>
      <c r="CV1960" s="585" t="s">
        <v>1893</v>
      </c>
    </row>
    <row r="1961" spans="91:100" x14ac:dyDescent="0.25">
      <c r="CM1961" s="582"/>
      <c r="CN1961" s="584" t="s">
        <v>6254</v>
      </c>
      <c r="CO1961" s="584" t="s">
        <v>1913</v>
      </c>
      <c r="CP1961" s="584" t="s">
        <v>2535</v>
      </c>
      <c r="CQ1961" s="584" t="s">
        <v>6255</v>
      </c>
      <c r="CR1961" s="584" t="s">
        <v>6256</v>
      </c>
      <c r="CS1961" s="584" t="s">
        <v>1890</v>
      </c>
      <c r="CT1961" s="584" t="s">
        <v>4970</v>
      </c>
      <c r="CU1961" s="584" t="s">
        <v>1892</v>
      </c>
      <c r="CV1961" s="585" t="s">
        <v>1893</v>
      </c>
    </row>
    <row r="1962" spans="91:100" x14ac:dyDescent="0.25">
      <c r="CM1962" s="582"/>
      <c r="CN1962" s="584" t="s">
        <v>6257</v>
      </c>
      <c r="CO1962" s="584" t="s">
        <v>1913</v>
      </c>
      <c r="CP1962" s="584" t="s">
        <v>2535</v>
      </c>
      <c r="CQ1962" s="584" t="s">
        <v>6258</v>
      </c>
      <c r="CR1962" s="584" t="s">
        <v>6258</v>
      </c>
      <c r="CS1962" s="584" t="s">
        <v>1890</v>
      </c>
      <c r="CT1962" s="584" t="s">
        <v>4970</v>
      </c>
      <c r="CU1962" s="584" t="s">
        <v>1892</v>
      </c>
      <c r="CV1962" s="585" t="s">
        <v>1893</v>
      </c>
    </row>
    <row r="1963" spans="91:100" x14ac:dyDescent="0.25">
      <c r="CM1963" s="582"/>
      <c r="CN1963" s="584" t="s">
        <v>6259</v>
      </c>
      <c r="CO1963" s="584" t="s">
        <v>1913</v>
      </c>
      <c r="CP1963" s="584" t="s">
        <v>2535</v>
      </c>
      <c r="CQ1963" s="584" t="s">
        <v>2134</v>
      </c>
      <c r="CR1963" s="584" t="s">
        <v>2134</v>
      </c>
      <c r="CS1963" s="584" t="s">
        <v>1890</v>
      </c>
      <c r="CT1963" s="584" t="s">
        <v>4970</v>
      </c>
      <c r="CU1963" s="584" t="s">
        <v>1892</v>
      </c>
      <c r="CV1963" s="585" t="s">
        <v>1893</v>
      </c>
    </row>
    <row r="1964" spans="91:100" x14ac:dyDescent="0.25">
      <c r="CM1964" s="582"/>
      <c r="CN1964" s="584" t="s">
        <v>6260</v>
      </c>
      <c r="CO1964" s="584" t="s">
        <v>1913</v>
      </c>
      <c r="CP1964" s="584" t="s">
        <v>2535</v>
      </c>
      <c r="CQ1964" s="584" t="s">
        <v>2136</v>
      </c>
      <c r="CR1964" s="584" t="s">
        <v>2136</v>
      </c>
      <c r="CS1964" s="584" t="s">
        <v>1890</v>
      </c>
      <c r="CT1964" s="584" t="s">
        <v>4970</v>
      </c>
      <c r="CU1964" s="584" t="s">
        <v>1892</v>
      </c>
      <c r="CV1964" s="585" t="s">
        <v>1893</v>
      </c>
    </row>
    <row r="1965" spans="91:100" x14ac:dyDescent="0.25">
      <c r="CM1965" s="582"/>
      <c r="CN1965" s="584" t="s">
        <v>6261</v>
      </c>
      <c r="CO1965" s="584" t="s">
        <v>1913</v>
      </c>
      <c r="CP1965" s="584" t="s">
        <v>2535</v>
      </c>
      <c r="CQ1965" s="584" t="s">
        <v>6262</v>
      </c>
      <c r="CR1965" s="584" t="s">
        <v>6262</v>
      </c>
      <c r="CS1965" s="584" t="s">
        <v>1978</v>
      </c>
      <c r="CT1965" s="584" t="s">
        <v>2542</v>
      </c>
      <c r="CU1965" s="584" t="s">
        <v>1892</v>
      </c>
      <c r="CV1965" s="585" t="s">
        <v>1980</v>
      </c>
    </row>
    <row r="1966" spans="91:100" x14ac:dyDescent="0.25">
      <c r="CM1966" s="582"/>
      <c r="CN1966" s="584" t="s">
        <v>6263</v>
      </c>
      <c r="CO1966" s="584" t="s">
        <v>1913</v>
      </c>
      <c r="CP1966" s="584" t="s">
        <v>2535</v>
      </c>
      <c r="CQ1966" s="584" t="s">
        <v>6264</v>
      </c>
      <c r="CR1966" s="584" t="s">
        <v>6265</v>
      </c>
      <c r="CS1966" s="584" t="s">
        <v>1890</v>
      </c>
      <c r="CT1966" s="584" t="s">
        <v>4970</v>
      </c>
      <c r="CU1966" s="584" t="s">
        <v>1892</v>
      </c>
      <c r="CV1966" s="585" t="s">
        <v>1893</v>
      </c>
    </row>
    <row r="1967" spans="91:100" x14ac:dyDescent="0.25">
      <c r="CM1967" s="582"/>
      <c r="CN1967" s="584" t="s">
        <v>6266</v>
      </c>
      <c r="CO1967" s="584" t="s">
        <v>1913</v>
      </c>
      <c r="CP1967" s="584" t="s">
        <v>2535</v>
      </c>
      <c r="CQ1967" s="584" t="s">
        <v>6267</v>
      </c>
      <c r="CR1967" s="584" t="s">
        <v>6267</v>
      </c>
      <c r="CS1967" s="584" t="s">
        <v>1890</v>
      </c>
      <c r="CT1967" s="584" t="s">
        <v>4970</v>
      </c>
      <c r="CU1967" s="584" t="s">
        <v>1892</v>
      </c>
      <c r="CV1967" s="585" t="s">
        <v>1893</v>
      </c>
    </row>
    <row r="1968" spans="91:100" x14ac:dyDescent="0.25">
      <c r="CM1968" s="582"/>
      <c r="CN1968" s="584" t="s">
        <v>6268</v>
      </c>
      <c r="CO1968" s="584" t="s">
        <v>1913</v>
      </c>
      <c r="CP1968" s="584" t="s">
        <v>2535</v>
      </c>
      <c r="CQ1968" s="584" t="s">
        <v>6269</v>
      </c>
      <c r="CR1968" s="584" t="s">
        <v>6269</v>
      </c>
      <c r="CS1968" s="584" t="s">
        <v>1890</v>
      </c>
      <c r="CT1968" s="584" t="s">
        <v>4970</v>
      </c>
      <c r="CU1968" s="584" t="s">
        <v>1892</v>
      </c>
      <c r="CV1968" s="585" t="s">
        <v>1893</v>
      </c>
    </row>
    <row r="1969" spans="91:100" x14ac:dyDescent="0.25">
      <c r="CM1969" s="582"/>
      <c r="CN1969" s="584" t="s">
        <v>6270</v>
      </c>
      <c r="CO1969" s="584" t="s">
        <v>1913</v>
      </c>
      <c r="CP1969" s="584" t="s">
        <v>2535</v>
      </c>
      <c r="CQ1969" s="584" t="s">
        <v>6271</v>
      </c>
      <c r="CR1969" s="584" t="s">
        <v>6271</v>
      </c>
      <c r="CS1969" s="584" t="s">
        <v>1890</v>
      </c>
      <c r="CT1969" s="584" t="s">
        <v>4970</v>
      </c>
      <c r="CU1969" s="584" t="s">
        <v>1892</v>
      </c>
      <c r="CV1969" s="585" t="s">
        <v>1893</v>
      </c>
    </row>
    <row r="1970" spans="91:100" x14ac:dyDescent="0.25">
      <c r="CM1970" s="582"/>
      <c r="CN1970" s="584" t="s">
        <v>6272</v>
      </c>
      <c r="CO1970" s="584" t="s">
        <v>1913</v>
      </c>
      <c r="CP1970" s="584" t="s">
        <v>2535</v>
      </c>
      <c r="CQ1970" s="584" t="s">
        <v>6273</v>
      </c>
      <c r="CR1970" s="584" t="s">
        <v>6273</v>
      </c>
      <c r="CS1970" s="584" t="s">
        <v>1890</v>
      </c>
      <c r="CT1970" s="584" t="s">
        <v>4970</v>
      </c>
      <c r="CU1970" s="584" t="s">
        <v>1892</v>
      </c>
      <c r="CV1970" s="585" t="s">
        <v>1893</v>
      </c>
    </row>
    <row r="1971" spans="91:100" x14ac:dyDescent="0.25">
      <c r="CM1971" s="582"/>
      <c r="CN1971" s="584" t="s">
        <v>6274</v>
      </c>
      <c r="CO1971" s="584" t="s">
        <v>1913</v>
      </c>
      <c r="CP1971" s="584" t="s">
        <v>2535</v>
      </c>
      <c r="CQ1971" s="584" t="s">
        <v>6275</v>
      </c>
      <c r="CR1971" s="584" t="s">
        <v>6275</v>
      </c>
      <c r="CS1971" s="584" t="s">
        <v>1978</v>
      </c>
      <c r="CT1971" s="584" t="s">
        <v>2542</v>
      </c>
      <c r="CU1971" s="584" t="s">
        <v>1892</v>
      </c>
      <c r="CV1971" s="585" t="s">
        <v>1980</v>
      </c>
    </row>
    <row r="1972" spans="91:100" x14ac:dyDescent="0.25">
      <c r="CM1972" s="582"/>
      <c r="CN1972" s="584" t="s">
        <v>6276</v>
      </c>
      <c r="CO1972" s="584" t="s">
        <v>1913</v>
      </c>
      <c r="CP1972" s="584" t="s">
        <v>2535</v>
      </c>
      <c r="CQ1972" s="584" t="s">
        <v>6277</v>
      </c>
      <c r="CR1972" s="584" t="s">
        <v>6278</v>
      </c>
      <c r="CS1972" s="584" t="s">
        <v>1890</v>
      </c>
      <c r="CT1972" s="584" t="s">
        <v>4970</v>
      </c>
      <c r="CU1972" s="584" t="s">
        <v>1892</v>
      </c>
      <c r="CV1972" s="585" t="s">
        <v>1893</v>
      </c>
    </row>
    <row r="1973" spans="91:100" x14ac:dyDescent="0.25">
      <c r="CM1973" s="582"/>
      <c r="CN1973" s="584" t="s">
        <v>6279</v>
      </c>
      <c r="CO1973" s="584" t="s">
        <v>1913</v>
      </c>
      <c r="CP1973" s="584" t="s">
        <v>2535</v>
      </c>
      <c r="CQ1973" s="584" t="s">
        <v>6280</v>
      </c>
      <c r="CR1973" s="584" t="s">
        <v>6280</v>
      </c>
      <c r="CS1973" s="584" t="s">
        <v>1890</v>
      </c>
      <c r="CT1973" s="584" t="s">
        <v>4970</v>
      </c>
      <c r="CU1973" s="584" t="s">
        <v>1892</v>
      </c>
      <c r="CV1973" s="585" t="s">
        <v>1893</v>
      </c>
    </row>
    <row r="1974" spans="91:100" x14ac:dyDescent="0.25">
      <c r="CM1974" s="582"/>
      <c r="CN1974" s="584" t="s">
        <v>6281</v>
      </c>
      <c r="CO1974" s="584" t="s">
        <v>1913</v>
      </c>
      <c r="CP1974" s="584" t="s">
        <v>2535</v>
      </c>
      <c r="CQ1974" s="584" t="s">
        <v>6015</v>
      </c>
      <c r="CR1974" s="584" t="s">
        <v>6015</v>
      </c>
      <c r="CS1974" s="584" t="s">
        <v>1890</v>
      </c>
      <c r="CT1974" s="584" t="s">
        <v>4970</v>
      </c>
      <c r="CU1974" s="584" t="s">
        <v>1892</v>
      </c>
      <c r="CV1974" s="585" t="s">
        <v>1893</v>
      </c>
    </row>
    <row r="1975" spans="91:100" x14ac:dyDescent="0.25">
      <c r="CM1975" s="582"/>
      <c r="CN1975" s="584" t="s">
        <v>6282</v>
      </c>
      <c r="CO1975" s="584" t="s">
        <v>1913</v>
      </c>
      <c r="CP1975" s="584" t="s">
        <v>2535</v>
      </c>
      <c r="CQ1975" s="584" t="s">
        <v>6283</v>
      </c>
      <c r="CR1975" s="584" t="s">
        <v>6283</v>
      </c>
      <c r="CS1975" s="584" t="s">
        <v>1890</v>
      </c>
      <c r="CT1975" s="584" t="s">
        <v>4970</v>
      </c>
      <c r="CU1975" s="584" t="s">
        <v>1892</v>
      </c>
      <c r="CV1975" s="585" t="s">
        <v>1893</v>
      </c>
    </row>
    <row r="1976" spans="91:100" x14ac:dyDescent="0.25">
      <c r="CM1976" s="582"/>
      <c r="CN1976" s="584" t="s">
        <v>6284</v>
      </c>
      <c r="CO1976" s="584" t="s">
        <v>1913</v>
      </c>
      <c r="CP1976" s="584" t="s">
        <v>2535</v>
      </c>
      <c r="CQ1976" s="584" t="s">
        <v>6285</v>
      </c>
      <c r="CR1976" s="584" t="s">
        <v>6286</v>
      </c>
      <c r="CS1976" s="584" t="s">
        <v>1890</v>
      </c>
      <c r="CT1976" s="584" t="s">
        <v>4970</v>
      </c>
      <c r="CU1976" s="584" t="s">
        <v>1892</v>
      </c>
      <c r="CV1976" s="585" t="s">
        <v>1893</v>
      </c>
    </row>
    <row r="1977" spans="91:100" x14ac:dyDescent="0.25">
      <c r="CM1977" s="582"/>
      <c r="CN1977" s="584" t="s">
        <v>6287</v>
      </c>
      <c r="CO1977" s="584" t="s">
        <v>1914</v>
      </c>
      <c r="CP1977" s="584" t="s">
        <v>1888</v>
      </c>
      <c r="CQ1977" s="584" t="s">
        <v>6288</v>
      </c>
      <c r="CR1977" s="584" t="s">
        <v>6289</v>
      </c>
      <c r="CS1977" s="584" t="s">
        <v>1890</v>
      </c>
      <c r="CT1977" s="584" t="s">
        <v>6290</v>
      </c>
      <c r="CU1977" s="584" t="s">
        <v>1892</v>
      </c>
      <c r="CV1977" s="585" t="s">
        <v>1893</v>
      </c>
    </row>
    <row r="1978" spans="91:100" x14ac:dyDescent="0.25">
      <c r="CM1978" s="582"/>
      <c r="CN1978" s="584" t="s">
        <v>6291</v>
      </c>
      <c r="CO1978" s="584" t="s">
        <v>1914</v>
      </c>
      <c r="CP1978" s="584" t="s">
        <v>1888</v>
      </c>
      <c r="CQ1978" s="584" t="s">
        <v>6292</v>
      </c>
      <c r="CR1978" s="584" t="s">
        <v>6293</v>
      </c>
      <c r="CS1978" s="584" t="s">
        <v>1890</v>
      </c>
      <c r="CT1978" s="584" t="s">
        <v>6290</v>
      </c>
      <c r="CU1978" s="584" t="s">
        <v>1892</v>
      </c>
      <c r="CV1978" s="585" t="s">
        <v>1893</v>
      </c>
    </row>
    <row r="1979" spans="91:100" x14ac:dyDescent="0.25">
      <c r="CM1979" s="582"/>
      <c r="CN1979" s="584" t="s">
        <v>6294</v>
      </c>
      <c r="CO1979" s="584" t="s">
        <v>1914</v>
      </c>
      <c r="CP1979" s="584" t="s">
        <v>1888</v>
      </c>
      <c r="CQ1979" s="584" t="s">
        <v>6295</v>
      </c>
      <c r="CR1979" s="584" t="s">
        <v>6296</v>
      </c>
      <c r="CS1979" s="584" t="s">
        <v>1890</v>
      </c>
      <c r="CT1979" s="584" t="s">
        <v>6290</v>
      </c>
      <c r="CU1979" s="584" t="s">
        <v>1892</v>
      </c>
      <c r="CV1979" s="585" t="s">
        <v>1893</v>
      </c>
    </row>
    <row r="1980" spans="91:100" x14ac:dyDescent="0.25">
      <c r="CM1980" s="582"/>
      <c r="CN1980" s="584" t="s">
        <v>6297</v>
      </c>
      <c r="CO1980" s="584" t="s">
        <v>1914</v>
      </c>
      <c r="CP1980" s="584" t="s">
        <v>1888</v>
      </c>
      <c r="CQ1980" s="584" t="s">
        <v>6298</v>
      </c>
      <c r="CR1980" s="584" t="s">
        <v>6298</v>
      </c>
      <c r="CS1980" s="584" t="s">
        <v>1978</v>
      </c>
      <c r="CT1980" s="584" t="s">
        <v>1979</v>
      </c>
      <c r="CU1980" s="584" t="s">
        <v>1892</v>
      </c>
      <c r="CV1980" s="585" t="s">
        <v>1980</v>
      </c>
    </row>
    <row r="1981" spans="91:100" x14ac:dyDescent="0.25">
      <c r="CM1981" s="582"/>
      <c r="CN1981" s="584" t="s">
        <v>6299</v>
      </c>
      <c r="CO1981" s="584" t="s">
        <v>1914</v>
      </c>
      <c r="CP1981" s="584" t="s">
        <v>1888</v>
      </c>
      <c r="CQ1981" s="584" t="s">
        <v>6300</v>
      </c>
      <c r="CR1981" s="584" t="s">
        <v>6300</v>
      </c>
      <c r="CS1981" s="584" t="s">
        <v>1978</v>
      </c>
      <c r="CT1981" s="584" t="s">
        <v>1979</v>
      </c>
      <c r="CU1981" s="584" t="s">
        <v>1892</v>
      </c>
      <c r="CV1981" s="585" t="s">
        <v>1980</v>
      </c>
    </row>
    <row r="1982" spans="91:100" x14ac:dyDescent="0.25">
      <c r="CM1982" s="582"/>
      <c r="CN1982" s="584" t="s">
        <v>6301</v>
      </c>
      <c r="CO1982" s="584" t="s">
        <v>1914</v>
      </c>
      <c r="CP1982" s="584" t="s">
        <v>1888</v>
      </c>
      <c r="CQ1982" s="584" t="s">
        <v>6302</v>
      </c>
      <c r="CR1982" s="584" t="s">
        <v>6303</v>
      </c>
      <c r="CS1982" s="584" t="s">
        <v>1890</v>
      </c>
      <c r="CT1982" s="584" t="s">
        <v>6290</v>
      </c>
      <c r="CU1982" s="584" t="s">
        <v>1892</v>
      </c>
      <c r="CV1982" s="585" t="s">
        <v>1893</v>
      </c>
    </row>
    <row r="1983" spans="91:100" x14ac:dyDescent="0.25">
      <c r="CM1983" s="582"/>
      <c r="CN1983" s="584" t="s">
        <v>6304</v>
      </c>
      <c r="CO1983" s="584" t="s">
        <v>1914</v>
      </c>
      <c r="CP1983" s="584" t="s">
        <v>1888</v>
      </c>
      <c r="CQ1983" s="584" t="s">
        <v>6305</v>
      </c>
      <c r="CR1983" s="584" t="s">
        <v>6306</v>
      </c>
      <c r="CS1983" s="584" t="s">
        <v>1890</v>
      </c>
      <c r="CT1983" s="584" t="s">
        <v>6290</v>
      </c>
      <c r="CU1983" s="584" t="s">
        <v>1892</v>
      </c>
      <c r="CV1983" s="585" t="s">
        <v>1893</v>
      </c>
    </row>
    <row r="1984" spans="91:100" x14ac:dyDescent="0.25">
      <c r="CM1984" s="582"/>
      <c r="CN1984" s="584" t="s">
        <v>6307</v>
      </c>
      <c r="CO1984" s="584" t="s">
        <v>1914</v>
      </c>
      <c r="CP1984" s="584" t="s">
        <v>1888</v>
      </c>
      <c r="CQ1984" s="584" t="s">
        <v>6308</v>
      </c>
      <c r="CR1984" s="584" t="s">
        <v>6309</v>
      </c>
      <c r="CS1984" s="584" t="s">
        <v>1890</v>
      </c>
      <c r="CT1984" s="584" t="s">
        <v>6290</v>
      </c>
      <c r="CU1984" s="584" t="s">
        <v>1892</v>
      </c>
      <c r="CV1984" s="585" t="s">
        <v>1893</v>
      </c>
    </row>
    <row r="1985" spans="91:100" x14ac:dyDescent="0.25">
      <c r="CM1985" s="582"/>
      <c r="CN1985" s="584" t="s">
        <v>6310</v>
      </c>
      <c r="CO1985" s="584" t="s">
        <v>1914</v>
      </c>
      <c r="CP1985" s="584" t="s">
        <v>1888</v>
      </c>
      <c r="CQ1985" s="584" t="s">
        <v>6311</v>
      </c>
      <c r="CR1985" s="584" t="s">
        <v>6312</v>
      </c>
      <c r="CS1985" s="584" t="s">
        <v>1890</v>
      </c>
      <c r="CT1985" s="584" t="s">
        <v>6290</v>
      </c>
      <c r="CU1985" s="584" t="s">
        <v>1892</v>
      </c>
      <c r="CV1985" s="585" t="s">
        <v>1893</v>
      </c>
    </row>
    <row r="1986" spans="91:100" x14ac:dyDescent="0.25">
      <c r="CM1986" s="582"/>
      <c r="CN1986" s="584" t="s">
        <v>6313</v>
      </c>
      <c r="CO1986" s="584" t="s">
        <v>1914</v>
      </c>
      <c r="CP1986" s="584" t="s">
        <v>1888</v>
      </c>
      <c r="CQ1986" s="584" t="s">
        <v>6314</v>
      </c>
      <c r="CR1986" s="584" t="s">
        <v>6315</v>
      </c>
      <c r="CS1986" s="584" t="s">
        <v>1890</v>
      </c>
      <c r="CT1986" s="584" t="s">
        <v>6290</v>
      </c>
      <c r="CU1986" s="584" t="s">
        <v>1892</v>
      </c>
      <c r="CV1986" s="585" t="s">
        <v>1893</v>
      </c>
    </row>
    <row r="1987" spans="91:100" x14ac:dyDescent="0.25">
      <c r="CM1987" s="582"/>
      <c r="CN1987" s="584" t="s">
        <v>6316</v>
      </c>
      <c r="CO1987" s="584" t="s">
        <v>1914</v>
      </c>
      <c r="CP1987" s="584" t="s">
        <v>1888</v>
      </c>
      <c r="CQ1987" s="584" t="s">
        <v>6317</v>
      </c>
      <c r="CR1987" s="584" t="s">
        <v>6318</v>
      </c>
      <c r="CS1987" s="584" t="s">
        <v>1890</v>
      </c>
      <c r="CT1987" s="584" t="s">
        <v>6290</v>
      </c>
      <c r="CU1987" s="584" t="s">
        <v>1892</v>
      </c>
      <c r="CV1987" s="585" t="s">
        <v>1893</v>
      </c>
    </row>
    <row r="1988" spans="91:100" x14ac:dyDescent="0.25">
      <c r="CM1988" s="582"/>
      <c r="CN1988" s="584" t="s">
        <v>6319</v>
      </c>
      <c r="CO1988" s="584" t="s">
        <v>1914</v>
      </c>
      <c r="CP1988" s="584" t="s">
        <v>1888</v>
      </c>
      <c r="CQ1988" s="584" t="s">
        <v>6320</v>
      </c>
      <c r="CR1988" s="584" t="s">
        <v>6321</v>
      </c>
      <c r="CS1988" s="584" t="s">
        <v>1890</v>
      </c>
      <c r="CT1988" s="584" t="s">
        <v>6290</v>
      </c>
      <c r="CU1988" s="584" t="s">
        <v>1892</v>
      </c>
      <c r="CV1988" s="585" t="s">
        <v>1893</v>
      </c>
    </row>
    <row r="1989" spans="91:100" x14ac:dyDescent="0.25">
      <c r="CM1989" s="582"/>
      <c r="CN1989" s="584" t="s">
        <v>6322</v>
      </c>
      <c r="CO1989" s="584" t="s">
        <v>1914</v>
      </c>
      <c r="CP1989" s="584" t="s">
        <v>1888</v>
      </c>
      <c r="CQ1989" s="584" t="s">
        <v>6323</v>
      </c>
      <c r="CR1989" s="584" t="s">
        <v>6324</v>
      </c>
      <c r="CS1989" s="584" t="s">
        <v>1890</v>
      </c>
      <c r="CT1989" s="584" t="s">
        <v>6290</v>
      </c>
      <c r="CU1989" s="584" t="s">
        <v>1892</v>
      </c>
      <c r="CV1989" s="585" t="s">
        <v>1893</v>
      </c>
    </row>
    <row r="1990" spans="91:100" x14ac:dyDescent="0.25">
      <c r="CM1990" s="582"/>
      <c r="CN1990" s="584" t="s">
        <v>6325</v>
      </c>
      <c r="CO1990" s="584" t="s">
        <v>1914</v>
      </c>
      <c r="CP1990" s="584" t="s">
        <v>1888</v>
      </c>
      <c r="CQ1990" s="584" t="s">
        <v>6326</v>
      </c>
      <c r="CR1990" s="584" t="s">
        <v>6327</v>
      </c>
      <c r="CS1990" s="584" t="s">
        <v>1890</v>
      </c>
      <c r="CT1990" s="584" t="s">
        <v>6290</v>
      </c>
      <c r="CU1990" s="584" t="s">
        <v>1892</v>
      </c>
      <c r="CV1990" s="585" t="s">
        <v>1893</v>
      </c>
    </row>
    <row r="1991" spans="91:100" x14ac:dyDescent="0.25">
      <c r="CM1991" s="582"/>
      <c r="CN1991" s="584" t="s">
        <v>6328</v>
      </c>
      <c r="CO1991" s="584" t="s">
        <v>1914</v>
      </c>
      <c r="CP1991" s="584" t="s">
        <v>2535</v>
      </c>
      <c r="CQ1991" s="584" t="s">
        <v>2539</v>
      </c>
      <c r="CR1991" s="584" t="s">
        <v>2539</v>
      </c>
      <c r="CS1991" s="584" t="s">
        <v>1890</v>
      </c>
      <c r="CT1991" s="584" t="s">
        <v>4970</v>
      </c>
      <c r="CU1991" s="584" t="s">
        <v>1892</v>
      </c>
      <c r="CV1991" s="585" t="s">
        <v>1893</v>
      </c>
    </row>
    <row r="1992" spans="91:100" x14ac:dyDescent="0.25">
      <c r="CM1992" s="582"/>
      <c r="CN1992" s="584" t="s">
        <v>6329</v>
      </c>
      <c r="CO1992" s="584" t="s">
        <v>1914</v>
      </c>
      <c r="CP1992" s="584" t="s">
        <v>2535</v>
      </c>
      <c r="CQ1992" s="584" t="s">
        <v>6330</v>
      </c>
      <c r="CR1992" s="584" t="s">
        <v>6331</v>
      </c>
      <c r="CS1992" s="584" t="s">
        <v>1890</v>
      </c>
      <c r="CT1992" s="584" t="s">
        <v>4970</v>
      </c>
      <c r="CU1992" s="584" t="s">
        <v>1892</v>
      </c>
      <c r="CV1992" s="585" t="s">
        <v>1893</v>
      </c>
    </row>
    <row r="1993" spans="91:100" x14ac:dyDescent="0.25">
      <c r="CM1993" s="582"/>
      <c r="CN1993" s="584" t="s">
        <v>6332</v>
      </c>
      <c r="CO1993" s="584" t="s">
        <v>1914</v>
      </c>
      <c r="CP1993" s="584" t="s">
        <v>2535</v>
      </c>
      <c r="CQ1993" s="584" t="s">
        <v>2546</v>
      </c>
      <c r="CR1993" s="584" t="s">
        <v>2546</v>
      </c>
      <c r="CS1993" s="584" t="s">
        <v>1890</v>
      </c>
      <c r="CT1993" s="584" t="s">
        <v>4970</v>
      </c>
      <c r="CU1993" s="584" t="s">
        <v>1892</v>
      </c>
      <c r="CV1993" s="585" t="s">
        <v>1893</v>
      </c>
    </row>
    <row r="1994" spans="91:100" x14ac:dyDescent="0.25">
      <c r="CM1994" s="582"/>
      <c r="CN1994" s="584" t="s">
        <v>6333</v>
      </c>
      <c r="CO1994" s="584" t="s">
        <v>1914</v>
      </c>
      <c r="CP1994" s="584" t="s">
        <v>2535</v>
      </c>
      <c r="CQ1994" s="584" t="s">
        <v>6334</v>
      </c>
      <c r="CR1994" s="584" t="s">
        <v>6334</v>
      </c>
      <c r="CS1994" s="584" t="s">
        <v>1890</v>
      </c>
      <c r="CT1994" s="584" t="s">
        <v>4970</v>
      </c>
      <c r="CU1994" s="584" t="s">
        <v>1892</v>
      </c>
      <c r="CV1994" s="585" t="s">
        <v>1893</v>
      </c>
    </row>
    <row r="1995" spans="91:100" x14ac:dyDescent="0.25">
      <c r="CM1995" s="582"/>
      <c r="CN1995" s="584" t="s">
        <v>6335</v>
      </c>
      <c r="CO1995" s="584" t="s">
        <v>1914</v>
      </c>
      <c r="CP1995" s="584" t="s">
        <v>2535</v>
      </c>
      <c r="CQ1995" s="584" t="s">
        <v>2550</v>
      </c>
      <c r="CR1995" s="584" t="s">
        <v>2550</v>
      </c>
      <c r="CS1995" s="584" t="s">
        <v>1890</v>
      </c>
      <c r="CT1995" s="584" t="s">
        <v>4970</v>
      </c>
      <c r="CU1995" s="584" t="s">
        <v>1892</v>
      </c>
      <c r="CV1995" s="585" t="s">
        <v>1893</v>
      </c>
    </row>
    <row r="1996" spans="91:100" x14ac:dyDescent="0.25">
      <c r="CM1996" s="582"/>
      <c r="CN1996" s="584" t="s">
        <v>6336</v>
      </c>
      <c r="CO1996" s="584" t="s">
        <v>1914</v>
      </c>
      <c r="CP1996" s="584" t="s">
        <v>2535</v>
      </c>
      <c r="CQ1996" s="584" t="s">
        <v>2552</v>
      </c>
      <c r="CR1996" s="584" t="s">
        <v>2552</v>
      </c>
      <c r="CS1996" s="584" t="s">
        <v>1890</v>
      </c>
      <c r="CT1996" s="584" t="s">
        <v>4970</v>
      </c>
      <c r="CU1996" s="584" t="s">
        <v>1892</v>
      </c>
      <c r="CV1996" s="585" t="s">
        <v>1893</v>
      </c>
    </row>
    <row r="1997" spans="91:100" x14ac:dyDescent="0.25">
      <c r="CM1997" s="582"/>
      <c r="CN1997" s="584" t="s">
        <v>6337</v>
      </c>
      <c r="CO1997" s="584" t="s">
        <v>1914</v>
      </c>
      <c r="CP1997" s="584" t="s">
        <v>2535</v>
      </c>
      <c r="CQ1997" s="584" t="s">
        <v>6338</v>
      </c>
      <c r="CR1997" s="584" t="s">
        <v>6338</v>
      </c>
      <c r="CS1997" s="584" t="s">
        <v>1890</v>
      </c>
      <c r="CT1997" s="584" t="s">
        <v>4970</v>
      </c>
      <c r="CU1997" s="584" t="s">
        <v>1892</v>
      </c>
      <c r="CV1997" s="585" t="s">
        <v>1893</v>
      </c>
    </row>
    <row r="1998" spans="91:100" x14ac:dyDescent="0.25">
      <c r="CM1998" s="582"/>
      <c r="CN1998" s="584" t="s">
        <v>6339</v>
      </c>
      <c r="CO1998" s="584" t="s">
        <v>1914</v>
      </c>
      <c r="CP1998" s="584" t="s">
        <v>2535</v>
      </c>
      <c r="CQ1998" s="584" t="s">
        <v>6340</v>
      </c>
      <c r="CR1998" s="584" t="s">
        <v>6341</v>
      </c>
      <c r="CS1998" s="584" t="s">
        <v>1890</v>
      </c>
      <c r="CT1998" s="584" t="s">
        <v>4970</v>
      </c>
      <c r="CU1998" s="584" t="s">
        <v>1892</v>
      </c>
      <c r="CV1998" s="585" t="s">
        <v>1893</v>
      </c>
    </row>
    <row r="1999" spans="91:100" x14ac:dyDescent="0.25">
      <c r="CM1999" s="582"/>
      <c r="CN1999" s="584" t="s">
        <v>6342</v>
      </c>
      <c r="CO1999" s="584" t="s">
        <v>1914</v>
      </c>
      <c r="CP1999" s="584" t="s">
        <v>2535</v>
      </c>
      <c r="CQ1999" s="584" t="s">
        <v>6343</v>
      </c>
      <c r="CR1999" s="584" t="s">
        <v>6343</v>
      </c>
      <c r="CS1999" s="584" t="s">
        <v>1890</v>
      </c>
      <c r="CT1999" s="584" t="s">
        <v>4970</v>
      </c>
      <c r="CU1999" s="584" t="s">
        <v>1892</v>
      </c>
      <c r="CV1999" s="585" t="s">
        <v>1893</v>
      </c>
    </row>
    <row r="2000" spans="91:100" x14ac:dyDescent="0.25">
      <c r="CM2000" s="582"/>
      <c r="CN2000" s="584" t="s">
        <v>6344</v>
      </c>
      <c r="CO2000" s="584" t="s">
        <v>1914</v>
      </c>
      <c r="CP2000" s="584" t="s">
        <v>2535</v>
      </c>
      <c r="CQ2000" s="584" t="s">
        <v>3039</v>
      </c>
      <c r="CR2000" s="584" t="s">
        <v>3040</v>
      </c>
      <c r="CS2000" s="584" t="s">
        <v>1890</v>
      </c>
      <c r="CT2000" s="584" t="s">
        <v>4970</v>
      </c>
      <c r="CU2000" s="584" t="s">
        <v>1892</v>
      </c>
      <c r="CV2000" s="585" t="s">
        <v>1893</v>
      </c>
    </row>
    <row r="2001" spans="91:100" x14ac:dyDescent="0.25">
      <c r="CM2001" s="582"/>
      <c r="CN2001" s="584" t="s">
        <v>6345</v>
      </c>
      <c r="CO2001" s="584" t="s">
        <v>1914</v>
      </c>
      <c r="CP2001" s="584" t="s">
        <v>2535</v>
      </c>
      <c r="CQ2001" s="584" t="s">
        <v>6346</v>
      </c>
      <c r="CR2001" s="584" t="s">
        <v>6346</v>
      </c>
      <c r="CS2001" s="584" t="s">
        <v>1890</v>
      </c>
      <c r="CT2001" s="584" t="s">
        <v>4970</v>
      </c>
      <c r="CU2001" s="584" t="s">
        <v>1892</v>
      </c>
      <c r="CV2001" s="585" t="s">
        <v>1893</v>
      </c>
    </row>
    <row r="2002" spans="91:100" x14ac:dyDescent="0.25">
      <c r="CM2002" s="582"/>
      <c r="CN2002" s="584" t="s">
        <v>6347</v>
      </c>
      <c r="CO2002" s="584" t="s">
        <v>1914</v>
      </c>
      <c r="CP2002" s="584" t="s">
        <v>2535</v>
      </c>
      <c r="CQ2002" s="584" t="s">
        <v>2570</v>
      </c>
      <c r="CR2002" s="584" t="s">
        <v>2570</v>
      </c>
      <c r="CS2002" s="584" t="s">
        <v>1890</v>
      </c>
      <c r="CT2002" s="584" t="s">
        <v>4970</v>
      </c>
      <c r="CU2002" s="584" t="s">
        <v>1892</v>
      </c>
      <c r="CV2002" s="585" t="s">
        <v>1893</v>
      </c>
    </row>
    <row r="2003" spans="91:100" x14ac:dyDescent="0.25">
      <c r="CM2003" s="582"/>
      <c r="CN2003" s="584" t="s">
        <v>6348</v>
      </c>
      <c r="CO2003" s="584" t="s">
        <v>1914</v>
      </c>
      <c r="CP2003" s="584" t="s">
        <v>2535</v>
      </c>
      <c r="CQ2003" s="584" t="s">
        <v>6349</v>
      </c>
      <c r="CR2003" s="584" t="s">
        <v>6350</v>
      </c>
      <c r="CS2003" s="584" t="s">
        <v>1890</v>
      </c>
      <c r="CT2003" s="584" t="s">
        <v>4970</v>
      </c>
      <c r="CU2003" s="584" t="s">
        <v>1892</v>
      </c>
      <c r="CV2003" s="585" t="s">
        <v>1893</v>
      </c>
    </row>
    <row r="2004" spans="91:100" x14ac:dyDescent="0.25">
      <c r="CM2004" s="582"/>
      <c r="CN2004" s="584" t="s">
        <v>6351</v>
      </c>
      <c r="CO2004" s="584" t="s">
        <v>1914</v>
      </c>
      <c r="CP2004" s="584" t="s">
        <v>2535</v>
      </c>
      <c r="CQ2004" s="584" t="s">
        <v>6352</v>
      </c>
      <c r="CR2004" s="584" t="s">
        <v>6352</v>
      </c>
      <c r="CS2004" s="584" t="s">
        <v>1890</v>
      </c>
      <c r="CT2004" s="584" t="s">
        <v>4970</v>
      </c>
      <c r="CU2004" s="584" t="s">
        <v>1892</v>
      </c>
      <c r="CV2004" s="585" t="s">
        <v>1893</v>
      </c>
    </row>
    <row r="2005" spans="91:100" x14ac:dyDescent="0.25">
      <c r="CM2005" s="582"/>
      <c r="CN2005" s="584" t="s">
        <v>6353</v>
      </c>
      <c r="CO2005" s="584" t="s">
        <v>1914</v>
      </c>
      <c r="CP2005" s="584" t="s">
        <v>2535</v>
      </c>
      <c r="CQ2005" s="584" t="s">
        <v>3054</v>
      </c>
      <c r="CR2005" s="584" t="s">
        <v>3054</v>
      </c>
      <c r="CS2005" s="584" t="s">
        <v>1890</v>
      </c>
      <c r="CT2005" s="584" t="s">
        <v>4970</v>
      </c>
      <c r="CU2005" s="584" t="s">
        <v>1892</v>
      </c>
      <c r="CV2005" s="585" t="s">
        <v>1893</v>
      </c>
    </row>
    <row r="2006" spans="91:100" x14ac:dyDescent="0.25">
      <c r="CM2006" s="582"/>
      <c r="CN2006" s="584" t="s">
        <v>6354</v>
      </c>
      <c r="CO2006" s="584" t="s">
        <v>1915</v>
      </c>
      <c r="CP2006" s="584" t="s">
        <v>1888</v>
      </c>
      <c r="CQ2006" s="584" t="s">
        <v>6355</v>
      </c>
      <c r="CR2006" s="584" t="s">
        <v>6355</v>
      </c>
      <c r="CS2006" s="584" t="s">
        <v>1890</v>
      </c>
      <c r="CT2006" s="584" t="s">
        <v>6356</v>
      </c>
      <c r="CU2006" s="584" t="s">
        <v>1892</v>
      </c>
      <c r="CV2006" s="585" t="s">
        <v>1893</v>
      </c>
    </row>
    <row r="2007" spans="91:100" x14ac:dyDescent="0.25">
      <c r="CM2007" s="582"/>
      <c r="CN2007" s="584" t="s">
        <v>6357</v>
      </c>
      <c r="CO2007" s="584" t="s">
        <v>1915</v>
      </c>
      <c r="CP2007" s="584" t="s">
        <v>1888</v>
      </c>
      <c r="CQ2007" s="584" t="s">
        <v>6358</v>
      </c>
      <c r="CR2007" s="584" t="s">
        <v>6358</v>
      </c>
      <c r="CS2007" s="584" t="s">
        <v>1890</v>
      </c>
      <c r="CT2007" s="584" t="s">
        <v>6356</v>
      </c>
      <c r="CU2007" s="584" t="s">
        <v>1892</v>
      </c>
      <c r="CV2007" s="585" t="s">
        <v>1893</v>
      </c>
    </row>
    <row r="2008" spans="91:100" x14ac:dyDescent="0.25">
      <c r="CM2008" s="582"/>
      <c r="CN2008" s="584" t="s">
        <v>6359</v>
      </c>
      <c r="CO2008" s="584" t="s">
        <v>1915</v>
      </c>
      <c r="CP2008" s="584" t="s">
        <v>1888</v>
      </c>
      <c r="CQ2008" s="584" t="s">
        <v>6360</v>
      </c>
      <c r="CR2008" s="584" t="s">
        <v>6360</v>
      </c>
      <c r="CS2008" s="584" t="s">
        <v>1890</v>
      </c>
      <c r="CT2008" s="584" t="s">
        <v>6356</v>
      </c>
      <c r="CU2008" s="584" t="s">
        <v>1892</v>
      </c>
      <c r="CV2008" s="585" t="s">
        <v>1893</v>
      </c>
    </row>
    <row r="2009" spans="91:100" x14ac:dyDescent="0.25">
      <c r="CM2009" s="582"/>
      <c r="CN2009" s="584" t="s">
        <v>6361</v>
      </c>
      <c r="CO2009" s="584" t="s">
        <v>1915</v>
      </c>
      <c r="CP2009" s="584" t="s">
        <v>1888</v>
      </c>
      <c r="CQ2009" s="584" t="s">
        <v>6362</v>
      </c>
      <c r="CR2009" s="584" t="s">
        <v>6362</v>
      </c>
      <c r="CS2009" s="584" t="s">
        <v>1890</v>
      </c>
      <c r="CT2009" s="584" t="s">
        <v>6356</v>
      </c>
      <c r="CU2009" s="584" t="s">
        <v>1892</v>
      </c>
      <c r="CV2009" s="585" t="s">
        <v>1893</v>
      </c>
    </row>
    <row r="2010" spans="91:100" x14ac:dyDescent="0.25">
      <c r="CM2010" s="582"/>
      <c r="CN2010" s="584" t="s">
        <v>6363</v>
      </c>
      <c r="CO2010" s="584" t="s">
        <v>1915</v>
      </c>
      <c r="CP2010" s="584" t="s">
        <v>1888</v>
      </c>
      <c r="CQ2010" s="584" t="s">
        <v>6364</v>
      </c>
      <c r="CR2010" s="584" t="s">
        <v>6364</v>
      </c>
      <c r="CS2010" s="584" t="s">
        <v>1890</v>
      </c>
      <c r="CT2010" s="584" t="s">
        <v>6356</v>
      </c>
      <c r="CU2010" s="584" t="s">
        <v>1892</v>
      </c>
      <c r="CV2010" s="585" t="s">
        <v>1893</v>
      </c>
    </row>
    <row r="2011" spans="91:100" x14ac:dyDescent="0.25">
      <c r="CM2011" s="582"/>
      <c r="CN2011" s="584" t="s">
        <v>6365</v>
      </c>
      <c r="CO2011" s="584" t="s">
        <v>1915</v>
      </c>
      <c r="CP2011" s="584" t="s">
        <v>1888</v>
      </c>
      <c r="CQ2011" s="584" t="s">
        <v>6366</v>
      </c>
      <c r="CR2011" s="584" t="s">
        <v>6367</v>
      </c>
      <c r="CS2011" s="584" t="s">
        <v>1890</v>
      </c>
      <c r="CT2011" s="584" t="s">
        <v>6356</v>
      </c>
      <c r="CU2011" s="584" t="s">
        <v>1892</v>
      </c>
      <c r="CV2011" s="585" t="s">
        <v>1893</v>
      </c>
    </row>
    <row r="2012" spans="91:100" x14ac:dyDescent="0.25">
      <c r="CM2012" s="582"/>
      <c r="CN2012" s="584" t="s">
        <v>6368</v>
      </c>
      <c r="CO2012" s="584" t="s">
        <v>1915</v>
      </c>
      <c r="CP2012" s="584" t="s">
        <v>1888</v>
      </c>
      <c r="CQ2012" s="584" t="s">
        <v>6369</v>
      </c>
      <c r="CR2012" s="584" t="s">
        <v>6369</v>
      </c>
      <c r="CS2012" s="584" t="s">
        <v>1890</v>
      </c>
      <c r="CT2012" s="584" t="s">
        <v>6356</v>
      </c>
      <c r="CU2012" s="584" t="s">
        <v>1892</v>
      </c>
      <c r="CV2012" s="585" t="s">
        <v>1893</v>
      </c>
    </row>
    <row r="2013" spans="91:100" x14ac:dyDescent="0.25">
      <c r="CM2013" s="582"/>
      <c r="CN2013" s="584" t="s">
        <v>6370</v>
      </c>
      <c r="CO2013" s="584" t="s">
        <v>1915</v>
      </c>
      <c r="CP2013" s="584" t="s">
        <v>1888</v>
      </c>
      <c r="CQ2013" s="584" t="s">
        <v>6371</v>
      </c>
      <c r="CR2013" s="584" t="s">
        <v>6372</v>
      </c>
      <c r="CS2013" s="584" t="s">
        <v>1890</v>
      </c>
      <c r="CT2013" s="584" t="s">
        <v>6356</v>
      </c>
      <c r="CU2013" s="584" t="s">
        <v>1892</v>
      </c>
      <c r="CV2013" s="585" t="s">
        <v>1893</v>
      </c>
    </row>
    <row r="2014" spans="91:100" x14ac:dyDescent="0.25">
      <c r="CM2014" s="582"/>
      <c r="CN2014" s="584" t="s">
        <v>6373</v>
      </c>
      <c r="CO2014" s="584" t="s">
        <v>1915</v>
      </c>
      <c r="CP2014" s="584" t="s">
        <v>1888</v>
      </c>
      <c r="CQ2014" s="584" t="s">
        <v>6374</v>
      </c>
      <c r="CR2014" s="584" t="s">
        <v>6374</v>
      </c>
      <c r="CS2014" s="584" t="s">
        <v>1890</v>
      </c>
      <c r="CT2014" s="584" t="s">
        <v>6356</v>
      </c>
      <c r="CU2014" s="584" t="s">
        <v>1892</v>
      </c>
      <c r="CV2014" s="585" t="s">
        <v>1893</v>
      </c>
    </row>
    <row r="2015" spans="91:100" x14ac:dyDescent="0.25">
      <c r="CM2015" s="582"/>
      <c r="CN2015" s="584" t="s">
        <v>6375</v>
      </c>
      <c r="CO2015" s="584" t="s">
        <v>1915</v>
      </c>
      <c r="CP2015" s="584" t="s">
        <v>1888</v>
      </c>
      <c r="CQ2015" s="584" t="s">
        <v>6376</v>
      </c>
      <c r="CR2015" s="584" t="s">
        <v>6376</v>
      </c>
      <c r="CS2015" s="584" t="s">
        <v>1890</v>
      </c>
      <c r="CT2015" s="584" t="s">
        <v>6356</v>
      </c>
      <c r="CU2015" s="584" t="s">
        <v>1892</v>
      </c>
      <c r="CV2015" s="585" t="s">
        <v>1893</v>
      </c>
    </row>
    <row r="2016" spans="91:100" x14ac:dyDescent="0.25">
      <c r="CM2016" s="582"/>
      <c r="CN2016" s="584" t="s">
        <v>6377</v>
      </c>
      <c r="CO2016" s="584" t="s">
        <v>1915</v>
      </c>
      <c r="CP2016" s="584" t="s">
        <v>1888</v>
      </c>
      <c r="CQ2016" s="584" t="s">
        <v>6378</v>
      </c>
      <c r="CR2016" s="584" t="s">
        <v>6378</v>
      </c>
      <c r="CS2016" s="584" t="s">
        <v>1890</v>
      </c>
      <c r="CT2016" s="584" t="s">
        <v>6356</v>
      </c>
      <c r="CU2016" s="584" t="s">
        <v>1892</v>
      </c>
      <c r="CV2016" s="585" t="s">
        <v>1893</v>
      </c>
    </row>
    <row r="2017" spans="91:100" x14ac:dyDescent="0.25">
      <c r="CM2017" s="582"/>
      <c r="CN2017" s="584" t="s">
        <v>6379</v>
      </c>
      <c r="CO2017" s="584" t="s">
        <v>1915</v>
      </c>
      <c r="CP2017" s="584" t="s">
        <v>1888</v>
      </c>
      <c r="CQ2017" s="584" t="s">
        <v>6380</v>
      </c>
      <c r="CR2017" s="584" t="s">
        <v>6380</v>
      </c>
      <c r="CS2017" s="584" t="s">
        <v>1890</v>
      </c>
      <c r="CT2017" s="584" t="s">
        <v>6356</v>
      </c>
      <c r="CU2017" s="584" t="s">
        <v>1892</v>
      </c>
      <c r="CV2017" s="585" t="s">
        <v>1893</v>
      </c>
    </row>
    <row r="2018" spans="91:100" x14ac:dyDescent="0.25">
      <c r="CM2018" s="582"/>
      <c r="CN2018" s="584" t="s">
        <v>6381</v>
      </c>
      <c r="CO2018" s="584" t="s">
        <v>1915</v>
      </c>
      <c r="CP2018" s="584" t="s">
        <v>1888</v>
      </c>
      <c r="CQ2018" s="584" t="s">
        <v>6382</v>
      </c>
      <c r="CR2018" s="584" t="s">
        <v>6382</v>
      </c>
      <c r="CS2018" s="584" t="s">
        <v>1978</v>
      </c>
      <c r="CT2018" s="584" t="s">
        <v>1979</v>
      </c>
      <c r="CU2018" s="584" t="s">
        <v>1892</v>
      </c>
      <c r="CV2018" s="585" t="s">
        <v>1980</v>
      </c>
    </row>
    <row r="2019" spans="91:100" x14ac:dyDescent="0.25">
      <c r="CM2019" s="582"/>
      <c r="CN2019" s="584" t="s">
        <v>6383</v>
      </c>
      <c r="CO2019" s="584" t="s">
        <v>1915</v>
      </c>
      <c r="CP2019" s="584" t="s">
        <v>1888</v>
      </c>
      <c r="CQ2019" s="584" t="s">
        <v>6384</v>
      </c>
      <c r="CR2019" s="584" t="s">
        <v>6384</v>
      </c>
      <c r="CS2019" s="584" t="s">
        <v>1978</v>
      </c>
      <c r="CT2019" s="584" t="s">
        <v>1979</v>
      </c>
      <c r="CU2019" s="584" t="s">
        <v>1892</v>
      </c>
      <c r="CV2019" s="585" t="s">
        <v>1980</v>
      </c>
    </row>
    <row r="2020" spans="91:100" x14ac:dyDescent="0.25">
      <c r="CM2020" s="582"/>
      <c r="CN2020" s="584" t="s">
        <v>6385</v>
      </c>
      <c r="CO2020" s="584" t="s">
        <v>1915</v>
      </c>
      <c r="CP2020" s="584" t="s">
        <v>1888</v>
      </c>
      <c r="CQ2020" s="584" t="s">
        <v>6386</v>
      </c>
      <c r="CR2020" s="584" t="s">
        <v>6386</v>
      </c>
      <c r="CS2020" s="584" t="s">
        <v>1978</v>
      </c>
      <c r="CT2020" s="584" t="s">
        <v>1979</v>
      </c>
      <c r="CU2020" s="584" t="s">
        <v>1892</v>
      </c>
      <c r="CV2020" s="585" t="s">
        <v>1980</v>
      </c>
    </row>
    <row r="2021" spans="91:100" x14ac:dyDescent="0.25">
      <c r="CM2021" s="582"/>
      <c r="CN2021" s="584" t="s">
        <v>6387</v>
      </c>
      <c r="CO2021" s="584" t="s">
        <v>1915</v>
      </c>
      <c r="CP2021" s="584" t="s">
        <v>1888</v>
      </c>
      <c r="CQ2021" s="584" t="s">
        <v>6388</v>
      </c>
      <c r="CR2021" s="584" t="s">
        <v>6388</v>
      </c>
      <c r="CS2021" s="584" t="s">
        <v>1890</v>
      </c>
      <c r="CT2021" s="584" t="s">
        <v>6356</v>
      </c>
      <c r="CU2021" s="584" t="s">
        <v>1892</v>
      </c>
      <c r="CV2021" s="585" t="s">
        <v>1893</v>
      </c>
    </row>
    <row r="2022" spans="91:100" x14ac:dyDescent="0.25">
      <c r="CM2022" s="582"/>
      <c r="CN2022" s="584" t="s">
        <v>6389</v>
      </c>
      <c r="CO2022" s="584" t="s">
        <v>1915</v>
      </c>
      <c r="CP2022" s="584" t="s">
        <v>1888</v>
      </c>
      <c r="CQ2022" s="584" t="s">
        <v>6390</v>
      </c>
      <c r="CR2022" s="584" t="s">
        <v>6390</v>
      </c>
      <c r="CS2022" s="584" t="s">
        <v>1890</v>
      </c>
      <c r="CT2022" s="584" t="s">
        <v>6356</v>
      </c>
      <c r="CU2022" s="584" t="s">
        <v>1892</v>
      </c>
      <c r="CV2022" s="585" t="s">
        <v>1893</v>
      </c>
    </row>
    <row r="2023" spans="91:100" x14ac:dyDescent="0.25">
      <c r="CM2023" s="582"/>
      <c r="CN2023" s="584" t="s">
        <v>6391</v>
      </c>
      <c r="CO2023" s="584" t="s">
        <v>1915</v>
      </c>
      <c r="CP2023" s="584" t="s">
        <v>1888</v>
      </c>
      <c r="CQ2023" s="584" t="s">
        <v>6392</v>
      </c>
      <c r="CR2023" s="584" t="s">
        <v>6393</v>
      </c>
      <c r="CS2023" s="584" t="s">
        <v>1890</v>
      </c>
      <c r="CT2023" s="584" t="s">
        <v>6356</v>
      </c>
      <c r="CU2023" s="584" t="s">
        <v>1892</v>
      </c>
      <c r="CV2023" s="585" t="s">
        <v>1893</v>
      </c>
    </row>
    <row r="2024" spans="91:100" x14ac:dyDescent="0.25">
      <c r="CM2024" s="582"/>
      <c r="CN2024" s="584" t="s">
        <v>6394</v>
      </c>
      <c r="CO2024" s="584" t="s">
        <v>1915</v>
      </c>
      <c r="CP2024" s="584" t="s">
        <v>2535</v>
      </c>
      <c r="CQ2024" s="584" t="s">
        <v>2546</v>
      </c>
      <c r="CR2024" s="584" t="s">
        <v>2546</v>
      </c>
      <c r="CS2024" s="584" t="s">
        <v>1890</v>
      </c>
      <c r="CT2024" s="584" t="s">
        <v>4970</v>
      </c>
      <c r="CU2024" s="584" t="s">
        <v>1892</v>
      </c>
      <c r="CV2024" s="585" t="s">
        <v>1893</v>
      </c>
    </row>
    <row r="2025" spans="91:100" x14ac:dyDescent="0.25">
      <c r="CM2025" s="582"/>
      <c r="CN2025" s="584" t="s">
        <v>6395</v>
      </c>
      <c r="CO2025" s="584" t="s">
        <v>1915</v>
      </c>
      <c r="CP2025" s="584" t="s">
        <v>2535</v>
      </c>
      <c r="CQ2025" s="584" t="s">
        <v>6396</v>
      </c>
      <c r="CR2025" s="584" t="s">
        <v>6396</v>
      </c>
      <c r="CS2025" s="584" t="s">
        <v>1890</v>
      </c>
      <c r="CT2025" s="584" t="s">
        <v>4970</v>
      </c>
      <c r="CU2025" s="584" t="s">
        <v>1892</v>
      </c>
      <c r="CV2025" s="585" t="s">
        <v>1893</v>
      </c>
    </row>
    <row r="2026" spans="91:100" x14ac:dyDescent="0.25">
      <c r="CM2026" s="582"/>
      <c r="CN2026" s="584" t="s">
        <v>6397</v>
      </c>
      <c r="CO2026" s="584" t="s">
        <v>1915</v>
      </c>
      <c r="CP2026" s="584" t="s">
        <v>2535</v>
      </c>
      <c r="CQ2026" s="584" t="s">
        <v>969</v>
      </c>
      <c r="CR2026" s="584" t="s">
        <v>969</v>
      </c>
      <c r="CS2026" s="584" t="s">
        <v>1890</v>
      </c>
      <c r="CT2026" s="584" t="s">
        <v>4970</v>
      </c>
      <c r="CU2026" s="584" t="s">
        <v>1892</v>
      </c>
      <c r="CV2026" s="585" t="s">
        <v>1893</v>
      </c>
    </row>
    <row r="2027" spans="91:100" x14ac:dyDescent="0.25">
      <c r="CM2027" s="582"/>
      <c r="CN2027" s="584" t="s">
        <v>6398</v>
      </c>
      <c r="CO2027" s="584" t="s">
        <v>1915</v>
      </c>
      <c r="CP2027" s="584" t="s">
        <v>2535</v>
      </c>
      <c r="CQ2027" s="584" t="s">
        <v>2943</v>
      </c>
      <c r="CR2027" s="584" t="s">
        <v>2943</v>
      </c>
      <c r="CS2027" s="584" t="s">
        <v>1890</v>
      </c>
      <c r="CT2027" s="584" t="s">
        <v>4970</v>
      </c>
      <c r="CU2027" s="584" t="s">
        <v>1892</v>
      </c>
      <c r="CV2027" s="585" t="s">
        <v>1893</v>
      </c>
    </row>
    <row r="2028" spans="91:100" x14ac:dyDescent="0.25">
      <c r="CM2028" s="582"/>
      <c r="CN2028" s="584" t="s">
        <v>6399</v>
      </c>
      <c r="CO2028" s="584" t="s">
        <v>1915</v>
      </c>
      <c r="CP2028" s="584" t="s">
        <v>2535</v>
      </c>
      <c r="CQ2028" s="584" t="s">
        <v>3039</v>
      </c>
      <c r="CR2028" s="584" t="s">
        <v>3040</v>
      </c>
      <c r="CS2028" s="584" t="s">
        <v>1890</v>
      </c>
      <c r="CT2028" s="584" t="s">
        <v>4970</v>
      </c>
      <c r="CU2028" s="584" t="s">
        <v>1892</v>
      </c>
      <c r="CV2028" s="585" t="s">
        <v>1893</v>
      </c>
    </row>
    <row r="2029" spans="91:100" x14ac:dyDescent="0.25">
      <c r="CM2029" s="582"/>
      <c r="CN2029" s="584" t="s">
        <v>6400</v>
      </c>
      <c r="CO2029" s="584" t="s">
        <v>1915</v>
      </c>
      <c r="CP2029" s="584" t="s">
        <v>2535</v>
      </c>
      <c r="CQ2029" s="584" t="s">
        <v>6401</v>
      </c>
      <c r="CR2029" s="584" t="s">
        <v>6401</v>
      </c>
      <c r="CS2029" s="584" t="s">
        <v>1890</v>
      </c>
      <c r="CT2029" s="584" t="s">
        <v>4970</v>
      </c>
      <c r="CU2029" s="584" t="s">
        <v>1892</v>
      </c>
      <c r="CV2029" s="585" t="s">
        <v>1893</v>
      </c>
    </row>
    <row r="2030" spans="91:100" x14ac:dyDescent="0.25">
      <c r="CM2030" s="582"/>
      <c r="CN2030" s="584" t="s">
        <v>6402</v>
      </c>
      <c r="CO2030" s="584" t="s">
        <v>1915</v>
      </c>
      <c r="CP2030" s="584" t="s">
        <v>2535</v>
      </c>
      <c r="CQ2030" s="584" t="s">
        <v>6403</v>
      </c>
      <c r="CR2030" s="584" t="s">
        <v>6403</v>
      </c>
      <c r="CS2030" s="584" t="s">
        <v>1890</v>
      </c>
      <c r="CT2030" s="584" t="s">
        <v>4970</v>
      </c>
      <c r="CU2030" s="584" t="s">
        <v>1892</v>
      </c>
      <c r="CV2030" s="585" t="s">
        <v>1893</v>
      </c>
    </row>
    <row r="2031" spans="91:100" x14ac:dyDescent="0.25">
      <c r="CM2031" s="582"/>
      <c r="CN2031" s="584" t="s">
        <v>6404</v>
      </c>
      <c r="CO2031" s="584" t="s">
        <v>1915</v>
      </c>
      <c r="CP2031" s="584" t="s">
        <v>2535</v>
      </c>
      <c r="CQ2031" s="584" t="s">
        <v>6405</v>
      </c>
      <c r="CR2031" s="584" t="s">
        <v>6405</v>
      </c>
      <c r="CS2031" s="584" t="s">
        <v>1890</v>
      </c>
      <c r="CT2031" s="584" t="s">
        <v>4970</v>
      </c>
      <c r="CU2031" s="584" t="s">
        <v>1892</v>
      </c>
      <c r="CV2031" s="585" t="s">
        <v>1893</v>
      </c>
    </row>
    <row r="2032" spans="91:100" x14ac:dyDescent="0.25">
      <c r="CM2032" s="582"/>
      <c r="CN2032" s="584" t="s">
        <v>6406</v>
      </c>
      <c r="CO2032" s="584" t="s">
        <v>1915</v>
      </c>
      <c r="CP2032" s="584" t="s">
        <v>2535</v>
      </c>
      <c r="CQ2032" s="584" t="s">
        <v>2993</v>
      </c>
      <c r="CR2032" s="584" t="s">
        <v>2993</v>
      </c>
      <c r="CS2032" s="584" t="s">
        <v>1890</v>
      </c>
      <c r="CT2032" s="584" t="s">
        <v>4970</v>
      </c>
      <c r="CU2032" s="584" t="s">
        <v>1892</v>
      </c>
      <c r="CV2032" s="585" t="s">
        <v>1893</v>
      </c>
    </row>
    <row r="2033" spans="91:100" x14ac:dyDescent="0.25">
      <c r="CM2033" s="582"/>
      <c r="CN2033" s="584" t="s">
        <v>6407</v>
      </c>
      <c r="CO2033" s="584" t="s">
        <v>1915</v>
      </c>
      <c r="CP2033" s="584" t="s">
        <v>2535</v>
      </c>
      <c r="CQ2033" s="584" t="s">
        <v>2997</v>
      </c>
      <c r="CR2033" s="584" t="s">
        <v>2998</v>
      </c>
      <c r="CS2033" s="584" t="s">
        <v>1890</v>
      </c>
      <c r="CT2033" s="584" t="s">
        <v>4970</v>
      </c>
      <c r="CU2033" s="584" t="s">
        <v>1892</v>
      </c>
      <c r="CV2033" s="585" t="s">
        <v>1893</v>
      </c>
    </row>
    <row r="2034" spans="91:100" x14ac:dyDescent="0.25">
      <c r="CM2034" s="582"/>
      <c r="CN2034" s="584" t="s">
        <v>6408</v>
      </c>
      <c r="CO2034" s="584" t="s">
        <v>1915</v>
      </c>
      <c r="CP2034" s="584" t="s">
        <v>2535</v>
      </c>
      <c r="CQ2034" s="584" t="s">
        <v>3000</v>
      </c>
      <c r="CR2034" s="584" t="s">
        <v>3000</v>
      </c>
      <c r="CS2034" s="584" t="s">
        <v>1890</v>
      </c>
      <c r="CT2034" s="584" t="s">
        <v>4970</v>
      </c>
      <c r="CU2034" s="584" t="s">
        <v>1892</v>
      </c>
      <c r="CV2034" s="585" t="s">
        <v>1893</v>
      </c>
    </row>
    <row r="2035" spans="91:100" x14ac:dyDescent="0.25">
      <c r="CM2035" s="582"/>
      <c r="CN2035" s="584" t="s">
        <v>6409</v>
      </c>
      <c r="CO2035" s="584" t="s">
        <v>1915</v>
      </c>
      <c r="CP2035" s="584" t="s">
        <v>2535</v>
      </c>
      <c r="CQ2035" s="584" t="s">
        <v>2570</v>
      </c>
      <c r="CR2035" s="584" t="s">
        <v>2570</v>
      </c>
      <c r="CS2035" s="584" t="s">
        <v>1890</v>
      </c>
      <c r="CT2035" s="584" t="s">
        <v>4970</v>
      </c>
      <c r="CU2035" s="584" t="s">
        <v>1892</v>
      </c>
      <c r="CV2035" s="585" t="s">
        <v>1893</v>
      </c>
    </row>
    <row r="2036" spans="91:100" x14ac:dyDescent="0.25">
      <c r="CM2036" s="582"/>
      <c r="CN2036" s="584" t="s">
        <v>6410</v>
      </c>
      <c r="CO2036" s="584" t="s">
        <v>1915</v>
      </c>
      <c r="CP2036" s="584" t="s">
        <v>2535</v>
      </c>
      <c r="CQ2036" s="584" t="s">
        <v>2572</v>
      </c>
      <c r="CR2036" s="584" t="s">
        <v>2572</v>
      </c>
      <c r="CS2036" s="584" t="s">
        <v>1890</v>
      </c>
      <c r="CT2036" s="584" t="s">
        <v>4970</v>
      </c>
      <c r="CU2036" s="584" t="s">
        <v>1892</v>
      </c>
      <c r="CV2036" s="585" t="s">
        <v>1893</v>
      </c>
    </row>
    <row r="2037" spans="91:100" x14ac:dyDescent="0.25">
      <c r="CM2037" s="582"/>
      <c r="CN2037" s="584" t="s">
        <v>6411</v>
      </c>
      <c r="CO2037" s="584" t="s">
        <v>1915</v>
      </c>
      <c r="CP2037" s="584" t="s">
        <v>2535</v>
      </c>
      <c r="CQ2037" s="584" t="s">
        <v>3054</v>
      </c>
      <c r="CR2037" s="584" t="s">
        <v>3054</v>
      </c>
      <c r="CS2037" s="584" t="s">
        <v>1890</v>
      </c>
      <c r="CT2037" s="584" t="s">
        <v>4970</v>
      </c>
      <c r="CU2037" s="584" t="s">
        <v>1892</v>
      </c>
      <c r="CV2037" s="585" t="s">
        <v>1893</v>
      </c>
    </row>
    <row r="2038" spans="91:100" x14ac:dyDescent="0.25">
      <c r="CM2038" s="582"/>
      <c r="CN2038" s="584" t="s">
        <v>6412</v>
      </c>
      <c r="CO2038" s="584" t="s">
        <v>1915</v>
      </c>
      <c r="CP2038" s="584" t="s">
        <v>2535</v>
      </c>
      <c r="CQ2038" s="584" t="s">
        <v>6413</v>
      </c>
      <c r="CR2038" s="584" t="s">
        <v>6413</v>
      </c>
      <c r="CS2038" s="584" t="s">
        <v>1890</v>
      </c>
      <c r="CT2038" s="584" t="s">
        <v>4970</v>
      </c>
      <c r="CU2038" s="584" t="s">
        <v>1892</v>
      </c>
      <c r="CV2038" s="585" t="s">
        <v>1893</v>
      </c>
    </row>
    <row r="2039" spans="91:100" x14ac:dyDescent="0.25">
      <c r="CM2039" s="582"/>
      <c r="CN2039" s="584" t="s">
        <v>6414</v>
      </c>
      <c r="CO2039" s="584" t="s">
        <v>1916</v>
      </c>
      <c r="CP2039" s="584" t="s">
        <v>1888</v>
      </c>
      <c r="CQ2039" s="584" t="s">
        <v>6415</v>
      </c>
      <c r="CR2039" s="584" t="s">
        <v>6415</v>
      </c>
      <c r="CS2039" s="584" t="s">
        <v>1890</v>
      </c>
      <c r="CT2039" s="584" t="s">
        <v>6416</v>
      </c>
      <c r="CU2039" s="584" t="s">
        <v>1892</v>
      </c>
      <c r="CV2039" s="585" t="s">
        <v>1893</v>
      </c>
    </row>
    <row r="2040" spans="91:100" x14ac:dyDescent="0.25">
      <c r="CM2040" s="582"/>
      <c r="CN2040" s="584" t="s">
        <v>6417</v>
      </c>
      <c r="CO2040" s="584" t="s">
        <v>1916</v>
      </c>
      <c r="CP2040" s="584" t="s">
        <v>1888</v>
      </c>
      <c r="CQ2040" s="584" t="s">
        <v>6418</v>
      </c>
      <c r="CR2040" s="584" t="s">
        <v>6418</v>
      </c>
      <c r="CS2040" s="584" t="s">
        <v>1890</v>
      </c>
      <c r="CT2040" s="584" t="s">
        <v>6416</v>
      </c>
      <c r="CU2040" s="584" t="s">
        <v>1892</v>
      </c>
      <c r="CV2040" s="585" t="s">
        <v>1893</v>
      </c>
    </row>
    <row r="2041" spans="91:100" x14ac:dyDescent="0.25">
      <c r="CM2041" s="582"/>
      <c r="CN2041" s="584" t="s">
        <v>6419</v>
      </c>
      <c r="CO2041" s="584" t="s">
        <v>1916</v>
      </c>
      <c r="CP2041" s="584" t="s">
        <v>1888</v>
      </c>
      <c r="CQ2041" s="584" t="s">
        <v>6420</v>
      </c>
      <c r="CR2041" s="584" t="s">
        <v>6421</v>
      </c>
      <c r="CS2041" s="584" t="s">
        <v>1890</v>
      </c>
      <c r="CT2041" s="584" t="s">
        <v>6416</v>
      </c>
      <c r="CU2041" s="584" t="s">
        <v>1892</v>
      </c>
      <c r="CV2041" s="585" t="s">
        <v>1893</v>
      </c>
    </row>
    <row r="2042" spans="91:100" x14ac:dyDescent="0.25">
      <c r="CM2042" s="582"/>
      <c r="CN2042" s="584" t="s">
        <v>6422</v>
      </c>
      <c r="CO2042" s="584" t="s">
        <v>1916</v>
      </c>
      <c r="CP2042" s="584" t="s">
        <v>1888</v>
      </c>
      <c r="CQ2042" s="584" t="s">
        <v>6423</v>
      </c>
      <c r="CR2042" s="584" t="s">
        <v>6424</v>
      </c>
      <c r="CS2042" s="584" t="s">
        <v>1890</v>
      </c>
      <c r="CT2042" s="584" t="s">
        <v>6416</v>
      </c>
      <c r="CU2042" s="584" t="s">
        <v>1892</v>
      </c>
      <c r="CV2042" s="585" t="s">
        <v>1893</v>
      </c>
    </row>
    <row r="2043" spans="91:100" x14ac:dyDescent="0.25">
      <c r="CM2043" s="582"/>
      <c r="CN2043" s="584" t="s">
        <v>6425</v>
      </c>
      <c r="CO2043" s="584" t="s">
        <v>1916</v>
      </c>
      <c r="CP2043" s="584" t="s">
        <v>1888</v>
      </c>
      <c r="CQ2043" s="584" t="s">
        <v>6426</v>
      </c>
      <c r="CR2043" s="584" t="s">
        <v>6426</v>
      </c>
      <c r="CS2043" s="584" t="s">
        <v>1890</v>
      </c>
      <c r="CT2043" s="584" t="s">
        <v>6416</v>
      </c>
      <c r="CU2043" s="584" t="s">
        <v>1892</v>
      </c>
      <c r="CV2043" s="585" t="s">
        <v>1893</v>
      </c>
    </row>
    <row r="2044" spans="91:100" x14ac:dyDescent="0.25">
      <c r="CM2044" s="582"/>
      <c r="CN2044" s="584" t="s">
        <v>6427</v>
      </c>
      <c r="CO2044" s="584" t="s">
        <v>1916</v>
      </c>
      <c r="CP2044" s="584" t="s">
        <v>1888</v>
      </c>
      <c r="CQ2044" s="584" t="s">
        <v>6428</v>
      </c>
      <c r="CR2044" s="584" t="s">
        <v>6428</v>
      </c>
      <c r="CS2044" s="584" t="s">
        <v>1890</v>
      </c>
      <c r="CT2044" s="584" t="s">
        <v>6416</v>
      </c>
      <c r="CU2044" s="584" t="s">
        <v>1892</v>
      </c>
      <c r="CV2044" s="585" t="s">
        <v>1893</v>
      </c>
    </row>
    <row r="2045" spans="91:100" x14ac:dyDescent="0.25">
      <c r="CM2045" s="582"/>
      <c r="CN2045" s="584" t="s">
        <v>6429</v>
      </c>
      <c r="CO2045" s="584" t="s">
        <v>1916</v>
      </c>
      <c r="CP2045" s="584" t="s">
        <v>1888</v>
      </c>
      <c r="CQ2045" s="584" t="s">
        <v>6430</v>
      </c>
      <c r="CR2045" s="584" t="s">
        <v>6431</v>
      </c>
      <c r="CS2045" s="584" t="s">
        <v>1890</v>
      </c>
      <c r="CT2045" s="584" t="s">
        <v>6416</v>
      </c>
      <c r="CU2045" s="584" t="s">
        <v>1892</v>
      </c>
      <c r="CV2045" s="585" t="s">
        <v>1893</v>
      </c>
    </row>
    <row r="2046" spans="91:100" x14ac:dyDescent="0.25">
      <c r="CM2046" s="582"/>
      <c r="CN2046" s="584" t="s">
        <v>6432</v>
      </c>
      <c r="CO2046" s="584" t="s">
        <v>1916</v>
      </c>
      <c r="CP2046" s="584" t="s">
        <v>1888</v>
      </c>
      <c r="CQ2046" s="584" t="s">
        <v>6433</v>
      </c>
      <c r="CR2046" s="584" t="s">
        <v>6434</v>
      </c>
      <c r="CS2046" s="584" t="s">
        <v>1890</v>
      </c>
      <c r="CT2046" s="584" t="s">
        <v>6416</v>
      </c>
      <c r="CU2046" s="584" t="s">
        <v>1892</v>
      </c>
      <c r="CV2046" s="585" t="s">
        <v>1893</v>
      </c>
    </row>
    <row r="2047" spans="91:100" x14ac:dyDescent="0.25">
      <c r="CM2047" s="582"/>
      <c r="CN2047" s="584" t="s">
        <v>6435</v>
      </c>
      <c r="CO2047" s="584" t="s">
        <v>1916</v>
      </c>
      <c r="CP2047" s="584" t="s">
        <v>1888</v>
      </c>
      <c r="CQ2047" s="584" t="s">
        <v>6436</v>
      </c>
      <c r="CR2047" s="584" t="s">
        <v>6437</v>
      </c>
      <c r="CS2047" s="584" t="s">
        <v>1890</v>
      </c>
      <c r="CT2047" s="584" t="s">
        <v>6416</v>
      </c>
      <c r="CU2047" s="584" t="s">
        <v>1892</v>
      </c>
      <c r="CV2047" s="585" t="s">
        <v>1893</v>
      </c>
    </row>
    <row r="2048" spans="91:100" x14ac:dyDescent="0.25">
      <c r="CM2048" s="582"/>
      <c r="CN2048" s="584" t="s">
        <v>6438</v>
      </c>
      <c r="CO2048" s="584" t="s">
        <v>1916</v>
      </c>
      <c r="CP2048" s="584" t="s">
        <v>1888</v>
      </c>
      <c r="CQ2048" s="584" t="s">
        <v>6439</v>
      </c>
      <c r="CR2048" s="584" t="s">
        <v>6440</v>
      </c>
      <c r="CS2048" s="584" t="s">
        <v>1890</v>
      </c>
      <c r="CT2048" s="584" t="s">
        <v>6416</v>
      </c>
      <c r="CU2048" s="584" t="s">
        <v>1892</v>
      </c>
      <c r="CV2048" s="585" t="s">
        <v>1893</v>
      </c>
    </row>
    <row r="2049" spans="91:100" x14ac:dyDescent="0.25">
      <c r="CM2049" s="582"/>
      <c r="CN2049" s="584" t="s">
        <v>6441</v>
      </c>
      <c r="CO2049" s="584" t="s">
        <v>1916</v>
      </c>
      <c r="CP2049" s="584" t="s">
        <v>1888</v>
      </c>
      <c r="CQ2049" s="584" t="s">
        <v>6442</v>
      </c>
      <c r="CR2049" s="584" t="s">
        <v>6443</v>
      </c>
      <c r="CS2049" s="584" t="s">
        <v>1890</v>
      </c>
      <c r="CT2049" s="584" t="s">
        <v>6416</v>
      </c>
      <c r="CU2049" s="584" t="s">
        <v>1892</v>
      </c>
      <c r="CV2049" s="585" t="s">
        <v>1893</v>
      </c>
    </row>
    <row r="2050" spans="91:100" x14ac:dyDescent="0.25">
      <c r="CM2050" s="582"/>
      <c r="CN2050" s="584" t="s">
        <v>6444</v>
      </c>
      <c r="CO2050" s="584" t="s">
        <v>1916</v>
      </c>
      <c r="CP2050" s="584" t="s">
        <v>1888</v>
      </c>
      <c r="CQ2050" s="584" t="s">
        <v>6445</v>
      </c>
      <c r="CR2050" s="584" t="s">
        <v>6446</v>
      </c>
      <c r="CS2050" s="584" t="s">
        <v>1890</v>
      </c>
      <c r="CT2050" s="584" t="s">
        <v>6416</v>
      </c>
      <c r="CU2050" s="584" t="s">
        <v>1892</v>
      </c>
      <c r="CV2050" s="585" t="s">
        <v>1893</v>
      </c>
    </row>
    <row r="2051" spans="91:100" x14ac:dyDescent="0.25">
      <c r="CM2051" s="582"/>
      <c r="CN2051" s="584" t="s">
        <v>6447</v>
      </c>
      <c r="CO2051" s="584" t="s">
        <v>1916</v>
      </c>
      <c r="CP2051" s="584" t="s">
        <v>1888</v>
      </c>
      <c r="CQ2051" s="584" t="s">
        <v>6448</v>
      </c>
      <c r="CR2051" s="584" t="s">
        <v>6449</v>
      </c>
      <c r="CS2051" s="584" t="s">
        <v>1890</v>
      </c>
      <c r="CT2051" s="584" t="s">
        <v>6416</v>
      </c>
      <c r="CU2051" s="584" t="s">
        <v>1892</v>
      </c>
      <c r="CV2051" s="585" t="s">
        <v>1893</v>
      </c>
    </row>
    <row r="2052" spans="91:100" x14ac:dyDescent="0.25">
      <c r="CM2052" s="582"/>
      <c r="CN2052" s="584" t="s">
        <v>6450</v>
      </c>
      <c r="CO2052" s="584" t="s">
        <v>1916</v>
      </c>
      <c r="CP2052" s="584" t="s">
        <v>1888</v>
      </c>
      <c r="CQ2052" s="584" t="s">
        <v>6451</v>
      </c>
      <c r="CR2052" s="584" t="s">
        <v>6451</v>
      </c>
      <c r="CS2052" s="584" t="s">
        <v>1978</v>
      </c>
      <c r="CT2052" s="584" t="s">
        <v>1979</v>
      </c>
      <c r="CU2052" s="584" t="s">
        <v>1892</v>
      </c>
      <c r="CV2052" s="585" t="s">
        <v>1980</v>
      </c>
    </row>
    <row r="2053" spans="91:100" x14ac:dyDescent="0.25">
      <c r="CM2053" s="582"/>
      <c r="CN2053" s="584" t="s">
        <v>6452</v>
      </c>
      <c r="CO2053" s="584" t="s">
        <v>1916</v>
      </c>
      <c r="CP2053" s="584" t="s">
        <v>1888</v>
      </c>
      <c r="CQ2053" s="584" t="s">
        <v>6453</v>
      </c>
      <c r="CR2053" s="584" t="s">
        <v>6453</v>
      </c>
      <c r="CS2053" s="584" t="s">
        <v>1978</v>
      </c>
      <c r="CT2053" s="584" t="s">
        <v>1979</v>
      </c>
      <c r="CU2053" s="584" t="s">
        <v>1892</v>
      </c>
      <c r="CV2053" s="585" t="s">
        <v>1980</v>
      </c>
    </row>
    <row r="2054" spans="91:100" x14ac:dyDescent="0.25">
      <c r="CM2054" s="582"/>
      <c r="CN2054" s="584" t="s">
        <v>6454</v>
      </c>
      <c r="CO2054" s="584" t="s">
        <v>1916</v>
      </c>
      <c r="CP2054" s="584" t="s">
        <v>1888</v>
      </c>
      <c r="CQ2054" s="584" t="s">
        <v>6455</v>
      </c>
      <c r="CR2054" s="584" t="s">
        <v>6455</v>
      </c>
      <c r="CS2054" s="584" t="s">
        <v>1978</v>
      </c>
      <c r="CT2054" s="584" t="s">
        <v>1979</v>
      </c>
      <c r="CU2054" s="584" t="s">
        <v>1892</v>
      </c>
      <c r="CV2054" s="585" t="s">
        <v>1980</v>
      </c>
    </row>
    <row r="2055" spans="91:100" x14ac:dyDescent="0.25">
      <c r="CM2055" s="582"/>
      <c r="CN2055" s="584" t="s">
        <v>6456</v>
      </c>
      <c r="CO2055" s="584" t="s">
        <v>1916</v>
      </c>
      <c r="CP2055" s="584" t="s">
        <v>1888</v>
      </c>
      <c r="CQ2055" s="584" t="s">
        <v>6457</v>
      </c>
      <c r="CR2055" s="584" t="s">
        <v>6457</v>
      </c>
      <c r="CS2055" s="584" t="s">
        <v>1890</v>
      </c>
      <c r="CT2055" s="584" t="s">
        <v>6416</v>
      </c>
      <c r="CU2055" s="584" t="s">
        <v>1892</v>
      </c>
      <c r="CV2055" s="585" t="s">
        <v>1893</v>
      </c>
    </row>
    <row r="2056" spans="91:100" x14ac:dyDescent="0.25">
      <c r="CM2056" s="582"/>
      <c r="CN2056" s="584" t="s">
        <v>6458</v>
      </c>
      <c r="CO2056" s="584" t="s">
        <v>1916</v>
      </c>
      <c r="CP2056" s="584" t="s">
        <v>1888</v>
      </c>
      <c r="CQ2056" s="584" t="s">
        <v>6459</v>
      </c>
      <c r="CR2056" s="584" t="s">
        <v>6459</v>
      </c>
      <c r="CS2056" s="584" t="s">
        <v>1890</v>
      </c>
      <c r="CT2056" s="584" t="s">
        <v>6416</v>
      </c>
      <c r="CU2056" s="584" t="s">
        <v>1892</v>
      </c>
      <c r="CV2056" s="585" t="s">
        <v>1893</v>
      </c>
    </row>
    <row r="2057" spans="91:100" x14ac:dyDescent="0.25">
      <c r="CM2057" s="582"/>
      <c r="CN2057" s="584" t="s">
        <v>6460</v>
      </c>
      <c r="CO2057" s="584" t="s">
        <v>1916</v>
      </c>
      <c r="CP2057" s="584" t="s">
        <v>1888</v>
      </c>
      <c r="CQ2057" s="584" t="s">
        <v>6461</v>
      </c>
      <c r="CR2057" s="584" t="s">
        <v>6461</v>
      </c>
      <c r="CS2057" s="584" t="s">
        <v>1890</v>
      </c>
      <c r="CT2057" s="584" t="s">
        <v>6416</v>
      </c>
      <c r="CU2057" s="584" t="s">
        <v>1892</v>
      </c>
      <c r="CV2057" s="585" t="s">
        <v>1893</v>
      </c>
    </row>
    <row r="2058" spans="91:100" x14ac:dyDescent="0.25">
      <c r="CM2058" s="582"/>
      <c r="CN2058" s="584" t="s">
        <v>6462</v>
      </c>
      <c r="CO2058" s="584" t="s">
        <v>1916</v>
      </c>
      <c r="CP2058" s="584" t="s">
        <v>2535</v>
      </c>
      <c r="CQ2058" s="584" t="s">
        <v>6463</v>
      </c>
      <c r="CR2058" s="584" t="s">
        <v>6464</v>
      </c>
      <c r="CS2058" s="584" t="s">
        <v>1890</v>
      </c>
      <c r="CT2058" s="584" t="s">
        <v>4970</v>
      </c>
      <c r="CU2058" s="584" t="s">
        <v>1892</v>
      </c>
      <c r="CV2058" s="585" t="s">
        <v>1893</v>
      </c>
    </row>
    <row r="2059" spans="91:100" x14ac:dyDescent="0.25">
      <c r="CM2059" s="582"/>
      <c r="CN2059" s="584" t="s">
        <v>6465</v>
      </c>
      <c r="CO2059" s="584" t="s">
        <v>1916</v>
      </c>
      <c r="CP2059" s="584" t="s">
        <v>2535</v>
      </c>
      <c r="CQ2059" s="584" t="s">
        <v>6466</v>
      </c>
      <c r="CR2059" s="584" t="s">
        <v>6466</v>
      </c>
      <c r="CS2059" s="584" t="s">
        <v>1890</v>
      </c>
      <c r="CT2059" s="584" t="s">
        <v>4970</v>
      </c>
      <c r="CU2059" s="584" t="s">
        <v>1892</v>
      </c>
      <c r="CV2059" s="585" t="s">
        <v>1893</v>
      </c>
    </row>
    <row r="2060" spans="91:100" x14ac:dyDescent="0.25">
      <c r="CM2060" s="582"/>
      <c r="CN2060" s="584" t="s">
        <v>6467</v>
      </c>
      <c r="CO2060" s="584" t="s">
        <v>1916</v>
      </c>
      <c r="CP2060" s="584" t="s">
        <v>2535</v>
      </c>
      <c r="CQ2060" s="584" t="s">
        <v>6468</v>
      </c>
      <c r="CR2060" s="584" t="s">
        <v>6468</v>
      </c>
      <c r="CS2060" s="584" t="s">
        <v>1890</v>
      </c>
      <c r="CT2060" s="584" t="s">
        <v>4970</v>
      </c>
      <c r="CU2060" s="584" t="s">
        <v>1892</v>
      </c>
      <c r="CV2060" s="585" t="s">
        <v>1893</v>
      </c>
    </row>
    <row r="2061" spans="91:100" x14ac:dyDescent="0.25">
      <c r="CM2061" s="582"/>
      <c r="CN2061" s="584" t="s">
        <v>6469</v>
      </c>
      <c r="CO2061" s="584" t="s">
        <v>1916</v>
      </c>
      <c r="CP2061" s="584" t="s">
        <v>2535</v>
      </c>
      <c r="CQ2061" s="584" t="s">
        <v>2062</v>
      </c>
      <c r="CR2061" s="584" t="s">
        <v>2062</v>
      </c>
      <c r="CS2061" s="584" t="s">
        <v>1890</v>
      </c>
      <c r="CT2061" s="584" t="s">
        <v>4970</v>
      </c>
      <c r="CU2061" s="584" t="s">
        <v>1892</v>
      </c>
      <c r="CV2061" s="585" t="s">
        <v>1893</v>
      </c>
    </row>
    <row r="2062" spans="91:100" x14ac:dyDescent="0.25">
      <c r="CM2062" s="582"/>
      <c r="CN2062" s="584" t="s">
        <v>6470</v>
      </c>
      <c r="CO2062" s="584" t="s">
        <v>1916</v>
      </c>
      <c r="CP2062" s="584" t="s">
        <v>2535</v>
      </c>
      <c r="CQ2062" s="584" t="s">
        <v>6471</v>
      </c>
      <c r="CR2062" s="584" t="s">
        <v>6471</v>
      </c>
      <c r="CS2062" s="584" t="s">
        <v>1890</v>
      </c>
      <c r="CT2062" s="584" t="s">
        <v>4970</v>
      </c>
      <c r="CU2062" s="584" t="s">
        <v>1892</v>
      </c>
      <c r="CV2062" s="585" t="s">
        <v>1893</v>
      </c>
    </row>
    <row r="2063" spans="91:100" x14ac:dyDescent="0.25">
      <c r="CM2063" s="582"/>
      <c r="CN2063" s="584" t="s">
        <v>6472</v>
      </c>
      <c r="CO2063" s="584" t="s">
        <v>1916</v>
      </c>
      <c r="CP2063" s="584" t="s">
        <v>2535</v>
      </c>
      <c r="CQ2063" s="584" t="s">
        <v>6267</v>
      </c>
      <c r="CR2063" s="584" t="s">
        <v>6267</v>
      </c>
      <c r="CS2063" s="584" t="s">
        <v>1890</v>
      </c>
      <c r="CT2063" s="584" t="s">
        <v>4970</v>
      </c>
      <c r="CU2063" s="584" t="s">
        <v>1892</v>
      </c>
      <c r="CV2063" s="585" t="s">
        <v>1893</v>
      </c>
    </row>
    <row r="2064" spans="91:100" x14ac:dyDescent="0.25">
      <c r="CM2064" s="582"/>
      <c r="CN2064" s="584" t="s">
        <v>6473</v>
      </c>
      <c r="CO2064" s="584" t="s">
        <v>1916</v>
      </c>
      <c r="CP2064" s="584" t="s">
        <v>2535</v>
      </c>
      <c r="CQ2064" s="584" t="s">
        <v>6474</v>
      </c>
      <c r="CR2064" s="584" t="s">
        <v>6474</v>
      </c>
      <c r="CS2064" s="584" t="s">
        <v>1890</v>
      </c>
      <c r="CT2064" s="584" t="s">
        <v>4970</v>
      </c>
      <c r="CU2064" s="584" t="s">
        <v>1892</v>
      </c>
      <c r="CV2064" s="585" t="s">
        <v>1893</v>
      </c>
    </row>
    <row r="2065" spans="91:100" x14ac:dyDescent="0.25">
      <c r="CM2065" s="582"/>
      <c r="CN2065" s="584" t="s">
        <v>6475</v>
      </c>
      <c r="CO2065" s="584" t="s">
        <v>1916</v>
      </c>
      <c r="CP2065" s="584" t="s">
        <v>2535</v>
      </c>
      <c r="CQ2065" s="584" t="s">
        <v>6476</v>
      </c>
      <c r="CR2065" s="584" t="s">
        <v>6476</v>
      </c>
      <c r="CS2065" s="584" t="s">
        <v>1890</v>
      </c>
      <c r="CT2065" s="584" t="s">
        <v>4970</v>
      </c>
      <c r="CU2065" s="584" t="s">
        <v>1892</v>
      </c>
      <c r="CV2065" s="585" t="s">
        <v>1893</v>
      </c>
    </row>
    <row r="2066" spans="91:100" x14ac:dyDescent="0.25">
      <c r="CM2066" s="582"/>
      <c r="CN2066" s="584" t="s">
        <v>6477</v>
      </c>
      <c r="CO2066" s="584" t="s">
        <v>1916</v>
      </c>
      <c r="CP2066" s="584" t="s">
        <v>2535</v>
      </c>
      <c r="CQ2066" s="584" t="s">
        <v>6273</v>
      </c>
      <c r="CR2066" s="584" t="s">
        <v>6273</v>
      </c>
      <c r="CS2066" s="584" t="s">
        <v>1890</v>
      </c>
      <c r="CT2066" s="584" t="s">
        <v>4970</v>
      </c>
      <c r="CU2066" s="584" t="s">
        <v>1892</v>
      </c>
      <c r="CV2066" s="585" t="s">
        <v>1893</v>
      </c>
    </row>
    <row r="2067" spans="91:100" x14ac:dyDescent="0.25">
      <c r="CM2067" s="582"/>
      <c r="CN2067" s="584" t="s">
        <v>6478</v>
      </c>
      <c r="CO2067" s="584" t="s">
        <v>1916</v>
      </c>
      <c r="CP2067" s="584" t="s">
        <v>2535</v>
      </c>
      <c r="CQ2067" s="584" t="s">
        <v>6479</v>
      </c>
      <c r="CR2067" s="584" t="s">
        <v>6479</v>
      </c>
      <c r="CS2067" s="584" t="s">
        <v>1890</v>
      </c>
      <c r="CT2067" s="584" t="s">
        <v>4970</v>
      </c>
      <c r="CU2067" s="584" t="s">
        <v>1892</v>
      </c>
      <c r="CV2067" s="585" t="s">
        <v>1893</v>
      </c>
    </row>
    <row r="2068" spans="91:100" x14ac:dyDescent="0.25">
      <c r="CM2068" s="582"/>
      <c r="CN2068" s="584" t="s">
        <v>6480</v>
      </c>
      <c r="CO2068" s="584" t="s">
        <v>1916</v>
      </c>
      <c r="CP2068" s="584" t="s">
        <v>2535</v>
      </c>
      <c r="CQ2068" s="584" t="s">
        <v>6481</v>
      </c>
      <c r="CR2068" s="584" t="s">
        <v>6481</v>
      </c>
      <c r="CS2068" s="584" t="s">
        <v>1890</v>
      </c>
      <c r="CT2068" s="584" t="s">
        <v>4970</v>
      </c>
      <c r="CU2068" s="584" t="s">
        <v>1892</v>
      </c>
      <c r="CV2068" s="585" t="s">
        <v>1893</v>
      </c>
    </row>
    <row r="2069" spans="91:100" x14ac:dyDescent="0.25">
      <c r="CM2069" s="582"/>
      <c r="CN2069" s="584" t="s">
        <v>6482</v>
      </c>
      <c r="CO2069" s="584" t="s">
        <v>1916</v>
      </c>
      <c r="CP2069" s="584" t="s">
        <v>2535</v>
      </c>
      <c r="CQ2069" s="584" t="s">
        <v>6483</v>
      </c>
      <c r="CR2069" s="584" t="s">
        <v>6483</v>
      </c>
      <c r="CS2069" s="584" t="s">
        <v>1890</v>
      </c>
      <c r="CT2069" s="584" t="s">
        <v>4970</v>
      </c>
      <c r="CU2069" s="584" t="s">
        <v>1892</v>
      </c>
      <c r="CV2069" s="585" t="s">
        <v>1893</v>
      </c>
    </row>
    <row r="2070" spans="91:100" x14ac:dyDescent="0.25">
      <c r="CM2070" s="582"/>
      <c r="CN2070" s="584" t="s">
        <v>6484</v>
      </c>
      <c r="CO2070" s="584" t="s">
        <v>1916</v>
      </c>
      <c r="CP2070" s="584" t="s">
        <v>2535</v>
      </c>
      <c r="CQ2070" s="584" t="s">
        <v>2246</v>
      </c>
      <c r="CR2070" s="584" t="s">
        <v>2246</v>
      </c>
      <c r="CS2070" s="584" t="s">
        <v>1890</v>
      </c>
      <c r="CT2070" s="584" t="s">
        <v>4970</v>
      </c>
      <c r="CU2070" s="584" t="s">
        <v>1892</v>
      </c>
      <c r="CV2070" s="585" t="s">
        <v>1893</v>
      </c>
    </row>
    <row r="2071" spans="91:100" x14ac:dyDescent="0.25">
      <c r="CM2071" s="582"/>
      <c r="CN2071" s="584" t="s">
        <v>6485</v>
      </c>
      <c r="CO2071" s="584" t="s">
        <v>1916</v>
      </c>
      <c r="CP2071" s="584" t="s">
        <v>2535</v>
      </c>
      <c r="CQ2071" s="584" t="s">
        <v>6486</v>
      </c>
      <c r="CR2071" s="584" t="s">
        <v>6486</v>
      </c>
      <c r="CS2071" s="584" t="s">
        <v>1890</v>
      </c>
      <c r="CT2071" s="584" t="s">
        <v>4970</v>
      </c>
      <c r="CU2071" s="584" t="s">
        <v>1892</v>
      </c>
      <c r="CV2071" s="585" t="s">
        <v>1893</v>
      </c>
    </row>
    <row r="2072" spans="91:100" x14ac:dyDescent="0.25">
      <c r="CM2072" s="582"/>
      <c r="CN2072" s="584" t="s">
        <v>6487</v>
      </c>
      <c r="CO2072" s="584" t="s">
        <v>1916</v>
      </c>
      <c r="CP2072" s="584" t="s">
        <v>2535</v>
      </c>
      <c r="CQ2072" s="584" t="s">
        <v>6488</v>
      </c>
      <c r="CR2072" s="584" t="s">
        <v>6488</v>
      </c>
      <c r="CS2072" s="584" t="s">
        <v>1890</v>
      </c>
      <c r="CT2072" s="584" t="s">
        <v>4970</v>
      </c>
      <c r="CU2072" s="584" t="s">
        <v>1892</v>
      </c>
      <c r="CV2072" s="585" t="s">
        <v>1893</v>
      </c>
    </row>
    <row r="2073" spans="91:100" x14ac:dyDescent="0.25">
      <c r="CM2073" s="582"/>
      <c r="CN2073" s="584" t="s">
        <v>6489</v>
      </c>
      <c r="CO2073" s="584" t="s">
        <v>1917</v>
      </c>
      <c r="CP2073" s="584" t="s">
        <v>1888</v>
      </c>
      <c r="CQ2073" s="584" t="s">
        <v>6490</v>
      </c>
      <c r="CR2073" s="584" t="s">
        <v>6490</v>
      </c>
      <c r="CS2073" s="584" t="s">
        <v>1890</v>
      </c>
      <c r="CT2073" s="584" t="s">
        <v>6491</v>
      </c>
      <c r="CU2073" s="584" t="s">
        <v>1892</v>
      </c>
      <c r="CV2073" s="585" t="s">
        <v>1893</v>
      </c>
    </row>
    <row r="2074" spans="91:100" x14ac:dyDescent="0.25">
      <c r="CM2074" s="582"/>
      <c r="CN2074" s="584" t="s">
        <v>6492</v>
      </c>
      <c r="CO2074" s="584" t="s">
        <v>1917</v>
      </c>
      <c r="CP2074" s="584" t="s">
        <v>1888</v>
      </c>
      <c r="CQ2074" s="584" t="s">
        <v>6493</v>
      </c>
      <c r="CR2074" s="584" t="s">
        <v>6493</v>
      </c>
      <c r="CS2074" s="584" t="s">
        <v>1890</v>
      </c>
      <c r="CT2074" s="584" t="s">
        <v>6491</v>
      </c>
      <c r="CU2074" s="584" t="s">
        <v>1892</v>
      </c>
      <c r="CV2074" s="585" t="s">
        <v>1893</v>
      </c>
    </row>
    <row r="2075" spans="91:100" x14ac:dyDescent="0.25">
      <c r="CM2075" s="582"/>
      <c r="CN2075" s="584" t="s">
        <v>6494</v>
      </c>
      <c r="CO2075" s="584" t="s">
        <v>1917</v>
      </c>
      <c r="CP2075" s="584" t="s">
        <v>1888</v>
      </c>
      <c r="CQ2075" s="584" t="s">
        <v>6495</v>
      </c>
      <c r="CR2075" s="584" t="s">
        <v>6495</v>
      </c>
      <c r="CS2075" s="584" t="s">
        <v>1890</v>
      </c>
      <c r="CT2075" s="584" t="s">
        <v>6491</v>
      </c>
      <c r="CU2075" s="584" t="s">
        <v>1892</v>
      </c>
      <c r="CV2075" s="585" t="s">
        <v>1893</v>
      </c>
    </row>
    <row r="2076" spans="91:100" x14ac:dyDescent="0.25">
      <c r="CM2076" s="582"/>
      <c r="CN2076" s="584" t="s">
        <v>6496</v>
      </c>
      <c r="CO2076" s="584" t="s">
        <v>1917</v>
      </c>
      <c r="CP2076" s="584" t="s">
        <v>1888</v>
      </c>
      <c r="CQ2076" s="584" t="s">
        <v>6497</v>
      </c>
      <c r="CR2076" s="584" t="s">
        <v>6497</v>
      </c>
      <c r="CS2076" s="584" t="s">
        <v>1890</v>
      </c>
      <c r="CT2076" s="584" t="s">
        <v>6491</v>
      </c>
      <c r="CU2076" s="584" t="s">
        <v>1892</v>
      </c>
      <c r="CV2076" s="585" t="s">
        <v>1893</v>
      </c>
    </row>
    <row r="2077" spans="91:100" x14ac:dyDescent="0.25">
      <c r="CM2077" s="582"/>
      <c r="CN2077" s="584" t="s">
        <v>6498</v>
      </c>
      <c r="CO2077" s="584" t="s">
        <v>1917</v>
      </c>
      <c r="CP2077" s="584" t="s">
        <v>1888</v>
      </c>
      <c r="CQ2077" s="584" t="s">
        <v>6499</v>
      </c>
      <c r="CR2077" s="584" t="s">
        <v>6500</v>
      </c>
      <c r="CS2077" s="584" t="s">
        <v>1890</v>
      </c>
      <c r="CT2077" s="584" t="s">
        <v>6491</v>
      </c>
      <c r="CU2077" s="584" t="s">
        <v>1892</v>
      </c>
      <c r="CV2077" s="585" t="s">
        <v>1893</v>
      </c>
    </row>
    <row r="2078" spans="91:100" x14ac:dyDescent="0.25">
      <c r="CM2078" s="582"/>
      <c r="CN2078" s="584" t="s">
        <v>6501</v>
      </c>
      <c r="CO2078" s="584" t="s">
        <v>1917</v>
      </c>
      <c r="CP2078" s="584" t="s">
        <v>1888</v>
      </c>
      <c r="CQ2078" s="584" t="s">
        <v>6502</v>
      </c>
      <c r="CR2078" s="584" t="s">
        <v>6503</v>
      </c>
      <c r="CS2078" s="584" t="s">
        <v>1890</v>
      </c>
      <c r="CT2078" s="584" t="s">
        <v>6491</v>
      </c>
      <c r="CU2078" s="584" t="s">
        <v>1892</v>
      </c>
      <c r="CV2078" s="585" t="s">
        <v>1893</v>
      </c>
    </row>
    <row r="2079" spans="91:100" x14ac:dyDescent="0.25">
      <c r="CM2079" s="582"/>
      <c r="CN2079" s="584" t="s">
        <v>6504</v>
      </c>
      <c r="CO2079" s="584" t="s">
        <v>1917</v>
      </c>
      <c r="CP2079" s="584" t="s">
        <v>1888</v>
      </c>
      <c r="CQ2079" s="584" t="s">
        <v>6505</v>
      </c>
      <c r="CR2079" s="584" t="s">
        <v>6506</v>
      </c>
      <c r="CS2079" s="584" t="s">
        <v>1890</v>
      </c>
      <c r="CT2079" s="584" t="s">
        <v>6491</v>
      </c>
      <c r="CU2079" s="584" t="s">
        <v>1892</v>
      </c>
      <c r="CV2079" s="585" t="s">
        <v>1893</v>
      </c>
    </row>
    <row r="2080" spans="91:100" x14ac:dyDescent="0.25">
      <c r="CM2080" s="582"/>
      <c r="CN2080" s="584" t="s">
        <v>6507</v>
      </c>
      <c r="CO2080" s="584" t="s">
        <v>1917</v>
      </c>
      <c r="CP2080" s="584" t="s">
        <v>1888</v>
      </c>
      <c r="CQ2080" s="584" t="s">
        <v>6508</v>
      </c>
      <c r="CR2080" s="584" t="s">
        <v>6509</v>
      </c>
      <c r="CS2080" s="584" t="s">
        <v>1890</v>
      </c>
      <c r="CT2080" s="584" t="s">
        <v>6491</v>
      </c>
      <c r="CU2080" s="584" t="s">
        <v>1892</v>
      </c>
      <c r="CV2080" s="585" t="s">
        <v>1893</v>
      </c>
    </row>
    <row r="2081" spans="91:100" x14ac:dyDescent="0.25">
      <c r="CM2081" s="582"/>
      <c r="CN2081" s="584" t="s">
        <v>6510</v>
      </c>
      <c r="CO2081" s="584" t="s">
        <v>1917</v>
      </c>
      <c r="CP2081" s="584" t="s">
        <v>1888</v>
      </c>
      <c r="CQ2081" s="584" t="s">
        <v>6511</v>
      </c>
      <c r="CR2081" s="584" t="s">
        <v>6512</v>
      </c>
      <c r="CS2081" s="584" t="s">
        <v>1890</v>
      </c>
      <c r="CT2081" s="584" t="s">
        <v>6491</v>
      </c>
      <c r="CU2081" s="584" t="s">
        <v>1892</v>
      </c>
      <c r="CV2081" s="585" t="s">
        <v>1893</v>
      </c>
    </row>
    <row r="2082" spans="91:100" x14ac:dyDescent="0.25">
      <c r="CM2082" s="582"/>
      <c r="CN2082" s="584" t="s">
        <v>6513</v>
      </c>
      <c r="CO2082" s="584" t="s">
        <v>1917</v>
      </c>
      <c r="CP2082" s="584" t="s">
        <v>1888</v>
      </c>
      <c r="CQ2082" s="584" t="s">
        <v>6514</v>
      </c>
      <c r="CR2082" s="584" t="s">
        <v>6515</v>
      </c>
      <c r="CS2082" s="584" t="s">
        <v>1890</v>
      </c>
      <c r="CT2082" s="584" t="s">
        <v>6491</v>
      </c>
      <c r="CU2082" s="584" t="s">
        <v>1892</v>
      </c>
      <c r="CV2082" s="585" t="s">
        <v>1893</v>
      </c>
    </row>
    <row r="2083" spans="91:100" x14ac:dyDescent="0.25">
      <c r="CM2083" s="582"/>
      <c r="CN2083" s="584" t="s">
        <v>6516</v>
      </c>
      <c r="CO2083" s="584" t="s">
        <v>1917</v>
      </c>
      <c r="CP2083" s="584" t="s">
        <v>1888</v>
      </c>
      <c r="CQ2083" s="584" t="s">
        <v>6517</v>
      </c>
      <c r="CR2083" s="584" t="s">
        <v>6518</v>
      </c>
      <c r="CS2083" s="584" t="s">
        <v>1890</v>
      </c>
      <c r="CT2083" s="584" t="s">
        <v>6491</v>
      </c>
      <c r="CU2083" s="584" t="s">
        <v>1892</v>
      </c>
      <c r="CV2083" s="585" t="s">
        <v>1893</v>
      </c>
    </row>
    <row r="2084" spans="91:100" x14ac:dyDescent="0.25">
      <c r="CM2084" s="582"/>
      <c r="CN2084" s="584" t="s">
        <v>6519</v>
      </c>
      <c r="CO2084" s="584" t="s">
        <v>1917</v>
      </c>
      <c r="CP2084" s="584" t="s">
        <v>1888</v>
      </c>
      <c r="CQ2084" s="584" t="s">
        <v>6520</v>
      </c>
      <c r="CR2084" s="584" t="s">
        <v>6521</v>
      </c>
      <c r="CS2084" s="584" t="s">
        <v>1890</v>
      </c>
      <c r="CT2084" s="584" t="s">
        <v>6491</v>
      </c>
      <c r="CU2084" s="584" t="s">
        <v>1892</v>
      </c>
      <c r="CV2084" s="585" t="s">
        <v>1893</v>
      </c>
    </row>
    <row r="2085" spans="91:100" x14ac:dyDescent="0.25">
      <c r="CM2085" s="582"/>
      <c r="CN2085" s="584" t="s">
        <v>6522</v>
      </c>
      <c r="CO2085" s="584" t="s">
        <v>1917</v>
      </c>
      <c r="CP2085" s="584" t="s">
        <v>1888</v>
      </c>
      <c r="CQ2085" s="584" t="s">
        <v>6523</v>
      </c>
      <c r="CR2085" s="584" t="s">
        <v>6524</v>
      </c>
      <c r="CS2085" s="584" t="s">
        <v>1890</v>
      </c>
      <c r="CT2085" s="584" t="s">
        <v>6491</v>
      </c>
      <c r="CU2085" s="584" t="s">
        <v>1892</v>
      </c>
      <c r="CV2085" s="585" t="s">
        <v>1893</v>
      </c>
    </row>
    <row r="2086" spans="91:100" x14ac:dyDescent="0.25">
      <c r="CM2086" s="582"/>
      <c r="CN2086" s="584" t="s">
        <v>6525</v>
      </c>
      <c r="CO2086" s="584" t="s">
        <v>1917</v>
      </c>
      <c r="CP2086" s="584" t="s">
        <v>1888</v>
      </c>
      <c r="CQ2086" s="584" t="s">
        <v>6526</v>
      </c>
      <c r="CR2086" s="584" t="s">
        <v>6527</v>
      </c>
      <c r="CS2086" s="584" t="s">
        <v>1890</v>
      </c>
      <c r="CT2086" s="584" t="s">
        <v>6491</v>
      </c>
      <c r="CU2086" s="584" t="s">
        <v>1892</v>
      </c>
      <c r="CV2086" s="585" t="s">
        <v>1893</v>
      </c>
    </row>
    <row r="2087" spans="91:100" x14ac:dyDescent="0.25">
      <c r="CM2087" s="582"/>
      <c r="CN2087" s="584" t="s">
        <v>6528</v>
      </c>
      <c r="CO2087" s="584" t="s">
        <v>1917</v>
      </c>
      <c r="CP2087" s="584" t="s">
        <v>1888</v>
      </c>
      <c r="CQ2087" s="584" t="s">
        <v>6529</v>
      </c>
      <c r="CR2087" s="584" t="s">
        <v>6530</v>
      </c>
      <c r="CS2087" s="584" t="s">
        <v>1890</v>
      </c>
      <c r="CT2087" s="584" t="s">
        <v>6491</v>
      </c>
      <c r="CU2087" s="584" t="s">
        <v>1892</v>
      </c>
      <c r="CV2087" s="585" t="s">
        <v>1893</v>
      </c>
    </row>
    <row r="2088" spans="91:100" x14ac:dyDescent="0.25">
      <c r="CM2088" s="582"/>
      <c r="CN2088" s="584" t="s">
        <v>6531</v>
      </c>
      <c r="CO2088" s="584" t="s">
        <v>1917</v>
      </c>
      <c r="CP2088" s="584" t="s">
        <v>1888</v>
      </c>
      <c r="CQ2088" s="584" t="s">
        <v>6532</v>
      </c>
      <c r="CR2088" s="584" t="s">
        <v>6532</v>
      </c>
      <c r="CS2088" s="584" t="s">
        <v>1890</v>
      </c>
      <c r="CT2088" s="584" t="s">
        <v>6491</v>
      </c>
      <c r="CU2088" s="584" t="s">
        <v>1892</v>
      </c>
      <c r="CV2088" s="585" t="s">
        <v>1893</v>
      </c>
    </row>
    <row r="2089" spans="91:100" x14ac:dyDescent="0.25">
      <c r="CM2089" s="582"/>
      <c r="CN2089" s="584" t="s">
        <v>6533</v>
      </c>
      <c r="CO2089" s="584" t="s">
        <v>1917</v>
      </c>
      <c r="CP2089" s="584" t="s">
        <v>1888</v>
      </c>
      <c r="CQ2089" s="584" t="s">
        <v>6534</v>
      </c>
      <c r="CR2089" s="584" t="s">
        <v>6534</v>
      </c>
      <c r="CS2089" s="584" t="s">
        <v>1890</v>
      </c>
      <c r="CT2089" s="584" t="s">
        <v>6491</v>
      </c>
      <c r="CU2089" s="584" t="s">
        <v>1892</v>
      </c>
      <c r="CV2089" s="585" t="s">
        <v>1893</v>
      </c>
    </row>
    <row r="2090" spans="91:100" x14ac:dyDescent="0.25">
      <c r="CM2090" s="582"/>
      <c r="CN2090" s="584" t="s">
        <v>6535</v>
      </c>
      <c r="CO2090" s="584" t="s">
        <v>1917</v>
      </c>
      <c r="CP2090" s="584" t="s">
        <v>1888</v>
      </c>
      <c r="CQ2090" s="584" t="s">
        <v>6536</v>
      </c>
      <c r="CR2090" s="584" t="s">
        <v>6536</v>
      </c>
      <c r="CS2090" s="584" t="s">
        <v>1978</v>
      </c>
      <c r="CT2090" s="584" t="s">
        <v>1979</v>
      </c>
      <c r="CU2090" s="584" t="s">
        <v>1892</v>
      </c>
      <c r="CV2090" s="585" t="s">
        <v>1980</v>
      </c>
    </row>
    <row r="2091" spans="91:100" x14ac:dyDescent="0.25">
      <c r="CM2091" s="582"/>
      <c r="CN2091" s="584" t="s">
        <v>6537</v>
      </c>
      <c r="CO2091" s="584" t="s">
        <v>1917</v>
      </c>
      <c r="CP2091" s="584" t="s">
        <v>1888</v>
      </c>
      <c r="CQ2091" s="584" t="s">
        <v>6538</v>
      </c>
      <c r="CR2091" s="584" t="s">
        <v>6538</v>
      </c>
      <c r="CS2091" s="584" t="s">
        <v>1890</v>
      </c>
      <c r="CT2091" s="584" t="s">
        <v>6491</v>
      </c>
      <c r="CU2091" s="584" t="s">
        <v>1892</v>
      </c>
      <c r="CV2091" s="585" t="s">
        <v>1893</v>
      </c>
    </row>
    <row r="2092" spans="91:100" x14ac:dyDescent="0.25">
      <c r="CM2092" s="582"/>
      <c r="CN2092" s="584" t="s">
        <v>6539</v>
      </c>
      <c r="CO2092" s="584" t="s">
        <v>1917</v>
      </c>
      <c r="CP2092" s="584" t="s">
        <v>1888</v>
      </c>
      <c r="CQ2092" s="584" t="s">
        <v>6540</v>
      </c>
      <c r="CR2092" s="584" t="s">
        <v>6540</v>
      </c>
      <c r="CS2092" s="584" t="s">
        <v>1890</v>
      </c>
      <c r="CT2092" s="584" t="s">
        <v>6491</v>
      </c>
      <c r="CU2092" s="584" t="s">
        <v>1892</v>
      </c>
      <c r="CV2092" s="585" t="s">
        <v>1893</v>
      </c>
    </row>
    <row r="2093" spans="91:100" x14ac:dyDescent="0.25">
      <c r="CM2093" s="582"/>
      <c r="CN2093" s="584" t="s">
        <v>6541</v>
      </c>
      <c r="CO2093" s="584" t="s">
        <v>1917</v>
      </c>
      <c r="CP2093" s="584" t="s">
        <v>1888</v>
      </c>
      <c r="CQ2093" s="584" t="s">
        <v>6542</v>
      </c>
      <c r="CR2093" s="584" t="s">
        <v>6542</v>
      </c>
      <c r="CS2093" s="584" t="s">
        <v>1978</v>
      </c>
      <c r="CT2093" s="584" t="s">
        <v>1979</v>
      </c>
      <c r="CU2093" s="584" t="s">
        <v>1892</v>
      </c>
      <c r="CV2093" s="585" t="s">
        <v>1980</v>
      </c>
    </row>
    <row r="2094" spans="91:100" x14ac:dyDescent="0.25">
      <c r="CM2094" s="582"/>
      <c r="CN2094" s="584" t="s">
        <v>6543</v>
      </c>
      <c r="CO2094" s="584" t="s">
        <v>1917</v>
      </c>
      <c r="CP2094" s="584" t="s">
        <v>2535</v>
      </c>
      <c r="CQ2094" s="584" t="s">
        <v>6544</v>
      </c>
      <c r="CR2094" s="584" t="s">
        <v>6544</v>
      </c>
      <c r="CS2094" s="584" t="s">
        <v>1890</v>
      </c>
      <c r="CT2094" s="584" t="s">
        <v>6545</v>
      </c>
      <c r="CU2094" s="584" t="s">
        <v>1892</v>
      </c>
      <c r="CV2094" s="585" t="s">
        <v>1893</v>
      </c>
    </row>
    <row r="2095" spans="91:100" x14ac:dyDescent="0.25">
      <c r="CM2095" s="582"/>
      <c r="CN2095" s="584" t="s">
        <v>6546</v>
      </c>
      <c r="CO2095" s="584" t="s">
        <v>1917</v>
      </c>
      <c r="CP2095" s="584" t="s">
        <v>2535</v>
      </c>
      <c r="CQ2095" s="584" t="s">
        <v>1983</v>
      </c>
      <c r="CR2095" s="584" t="s">
        <v>1984</v>
      </c>
      <c r="CS2095" s="584" t="s">
        <v>1890</v>
      </c>
      <c r="CT2095" s="584" t="s">
        <v>6545</v>
      </c>
      <c r="CU2095" s="584" t="s">
        <v>1892</v>
      </c>
      <c r="CV2095" s="585" t="s">
        <v>1893</v>
      </c>
    </row>
    <row r="2096" spans="91:100" x14ac:dyDescent="0.25">
      <c r="CM2096" s="582"/>
      <c r="CN2096" s="584" t="s">
        <v>6547</v>
      </c>
      <c r="CO2096" s="584" t="s">
        <v>1917</v>
      </c>
      <c r="CP2096" s="584" t="s">
        <v>2535</v>
      </c>
      <c r="CQ2096" s="584" t="s">
        <v>6548</v>
      </c>
      <c r="CR2096" s="584" t="s">
        <v>6548</v>
      </c>
      <c r="CS2096" s="584" t="s">
        <v>1890</v>
      </c>
      <c r="CT2096" s="584" t="s">
        <v>6545</v>
      </c>
      <c r="CU2096" s="584" t="s">
        <v>1892</v>
      </c>
      <c r="CV2096" s="585" t="s">
        <v>1893</v>
      </c>
    </row>
    <row r="2097" spans="91:100" x14ac:dyDescent="0.25">
      <c r="CM2097" s="582"/>
      <c r="CN2097" s="584" t="s">
        <v>6549</v>
      </c>
      <c r="CO2097" s="584" t="s">
        <v>1917</v>
      </c>
      <c r="CP2097" s="584" t="s">
        <v>2535</v>
      </c>
      <c r="CQ2097" s="584" t="s">
        <v>6550</v>
      </c>
      <c r="CR2097" s="584" t="s">
        <v>6550</v>
      </c>
      <c r="CS2097" s="584" t="s">
        <v>1890</v>
      </c>
      <c r="CT2097" s="584" t="s">
        <v>6545</v>
      </c>
      <c r="CU2097" s="584" t="s">
        <v>1892</v>
      </c>
      <c r="CV2097" s="585" t="s">
        <v>1893</v>
      </c>
    </row>
    <row r="2098" spans="91:100" x14ac:dyDescent="0.25">
      <c r="CM2098" s="582"/>
      <c r="CN2098" s="584" t="s">
        <v>6551</v>
      </c>
      <c r="CO2098" s="584" t="s">
        <v>1917</v>
      </c>
      <c r="CP2098" s="584" t="s">
        <v>2535</v>
      </c>
      <c r="CQ2098" s="584" t="s">
        <v>6552</v>
      </c>
      <c r="CR2098" s="584" t="s">
        <v>6552</v>
      </c>
      <c r="CS2098" s="584" t="s">
        <v>1890</v>
      </c>
      <c r="CT2098" s="584" t="s">
        <v>6545</v>
      </c>
      <c r="CU2098" s="584" t="s">
        <v>1892</v>
      </c>
      <c r="CV2098" s="585" t="s">
        <v>1893</v>
      </c>
    </row>
    <row r="2099" spans="91:100" x14ac:dyDescent="0.25">
      <c r="CM2099" s="582"/>
      <c r="CN2099" s="584" t="s">
        <v>6553</v>
      </c>
      <c r="CO2099" s="584" t="s">
        <v>1917</v>
      </c>
      <c r="CP2099" s="584" t="s">
        <v>2535</v>
      </c>
      <c r="CQ2099" s="584" t="s">
        <v>6554</v>
      </c>
      <c r="CR2099" s="584" t="s">
        <v>6554</v>
      </c>
      <c r="CS2099" s="584" t="s">
        <v>1890</v>
      </c>
      <c r="CT2099" s="584" t="s">
        <v>6545</v>
      </c>
      <c r="CU2099" s="584" t="s">
        <v>1892</v>
      </c>
      <c r="CV2099" s="585" t="s">
        <v>1893</v>
      </c>
    </row>
    <row r="2100" spans="91:100" x14ac:dyDescent="0.25">
      <c r="CM2100" s="582"/>
      <c r="CN2100" s="584" t="s">
        <v>6555</v>
      </c>
      <c r="CO2100" s="584" t="s">
        <v>1917</v>
      </c>
      <c r="CP2100" s="584" t="s">
        <v>2535</v>
      </c>
      <c r="CQ2100" s="584" t="s">
        <v>6556</v>
      </c>
      <c r="CR2100" s="584" t="s">
        <v>6556</v>
      </c>
      <c r="CS2100" s="584" t="s">
        <v>1978</v>
      </c>
      <c r="CT2100" s="584" t="s">
        <v>2542</v>
      </c>
      <c r="CU2100" s="584" t="s">
        <v>1892</v>
      </c>
      <c r="CV2100" s="585" t="s">
        <v>1980</v>
      </c>
    </row>
    <row r="2101" spans="91:100" x14ac:dyDescent="0.25">
      <c r="CM2101" s="582"/>
      <c r="CN2101" s="584" t="s">
        <v>6557</v>
      </c>
      <c r="CO2101" s="584" t="s">
        <v>1917</v>
      </c>
      <c r="CP2101" s="584" t="s">
        <v>2535</v>
      </c>
      <c r="CQ2101" s="584" t="s">
        <v>6558</v>
      </c>
      <c r="CR2101" s="584" t="s">
        <v>6558</v>
      </c>
      <c r="CS2101" s="584" t="s">
        <v>1890</v>
      </c>
      <c r="CT2101" s="584" t="s">
        <v>6545</v>
      </c>
      <c r="CU2101" s="584" t="s">
        <v>1892</v>
      </c>
      <c r="CV2101" s="585" t="s">
        <v>1893</v>
      </c>
    </row>
    <row r="2102" spans="91:100" x14ac:dyDescent="0.25">
      <c r="CM2102" s="582"/>
      <c r="CN2102" s="584" t="s">
        <v>6559</v>
      </c>
      <c r="CO2102" s="584" t="s">
        <v>1917</v>
      </c>
      <c r="CP2102" s="584" t="s">
        <v>2535</v>
      </c>
      <c r="CQ2102" s="584" t="s">
        <v>6560</v>
      </c>
      <c r="CR2102" s="584" t="s">
        <v>6561</v>
      </c>
      <c r="CS2102" s="584" t="s">
        <v>1890</v>
      </c>
      <c r="CT2102" s="584" t="s">
        <v>6545</v>
      </c>
      <c r="CU2102" s="584" t="s">
        <v>1892</v>
      </c>
      <c r="CV2102" s="585" t="s">
        <v>1893</v>
      </c>
    </row>
    <row r="2103" spans="91:100" x14ac:dyDescent="0.25">
      <c r="CM2103" s="582"/>
      <c r="CN2103" s="584" t="s">
        <v>6562</v>
      </c>
      <c r="CO2103" s="584" t="s">
        <v>1917</v>
      </c>
      <c r="CP2103" s="584" t="s">
        <v>2535</v>
      </c>
      <c r="CQ2103" s="584" t="s">
        <v>6563</v>
      </c>
      <c r="CR2103" s="584" t="s">
        <v>6564</v>
      </c>
      <c r="CS2103" s="584" t="s">
        <v>1890</v>
      </c>
      <c r="CT2103" s="584" t="s">
        <v>6545</v>
      </c>
      <c r="CU2103" s="584" t="s">
        <v>1892</v>
      </c>
      <c r="CV2103" s="585" t="s">
        <v>1893</v>
      </c>
    </row>
    <row r="2104" spans="91:100" x14ac:dyDescent="0.25">
      <c r="CM2104" s="582"/>
      <c r="CN2104" s="584" t="s">
        <v>6565</v>
      </c>
      <c r="CO2104" s="584" t="s">
        <v>1917</v>
      </c>
      <c r="CP2104" s="584" t="s">
        <v>2535</v>
      </c>
      <c r="CQ2104" s="584" t="s">
        <v>6566</v>
      </c>
      <c r="CR2104" s="584" t="s">
        <v>6567</v>
      </c>
      <c r="CS2104" s="584" t="s">
        <v>1890</v>
      </c>
      <c r="CT2104" s="584" t="s">
        <v>6545</v>
      </c>
      <c r="CU2104" s="584" t="s">
        <v>1892</v>
      </c>
      <c r="CV2104" s="585" t="s">
        <v>1893</v>
      </c>
    </row>
    <row r="2105" spans="91:100" x14ac:dyDescent="0.25">
      <c r="CM2105" s="582"/>
      <c r="CN2105" s="584" t="s">
        <v>6568</v>
      </c>
      <c r="CO2105" s="584" t="s">
        <v>1917</v>
      </c>
      <c r="CP2105" s="584" t="s">
        <v>2535</v>
      </c>
      <c r="CQ2105" s="584" t="s">
        <v>6569</v>
      </c>
      <c r="CR2105" s="584" t="s">
        <v>6569</v>
      </c>
      <c r="CS2105" s="584" t="s">
        <v>1890</v>
      </c>
      <c r="CT2105" s="584" t="s">
        <v>6545</v>
      </c>
      <c r="CU2105" s="584" t="s">
        <v>1892</v>
      </c>
      <c r="CV2105" s="585" t="s">
        <v>1893</v>
      </c>
    </row>
    <row r="2106" spans="91:100" x14ac:dyDescent="0.25">
      <c r="CM2106" s="582"/>
      <c r="CN2106" s="584" t="s">
        <v>6570</v>
      </c>
      <c r="CO2106" s="584" t="s">
        <v>1917</v>
      </c>
      <c r="CP2106" s="584" t="s">
        <v>2535</v>
      </c>
      <c r="CQ2106" s="584" t="s">
        <v>6571</v>
      </c>
      <c r="CR2106" s="584" t="s">
        <v>6571</v>
      </c>
      <c r="CS2106" s="584" t="s">
        <v>1890</v>
      </c>
      <c r="CT2106" s="584" t="s">
        <v>6545</v>
      </c>
      <c r="CU2106" s="584" t="s">
        <v>1892</v>
      </c>
      <c r="CV2106" s="585" t="s">
        <v>1893</v>
      </c>
    </row>
    <row r="2107" spans="91:100" x14ac:dyDescent="0.25">
      <c r="CM2107" s="582"/>
      <c r="CN2107" s="584" t="s">
        <v>6572</v>
      </c>
      <c r="CO2107" s="584" t="s">
        <v>1917</v>
      </c>
      <c r="CP2107" s="584" t="s">
        <v>2535</v>
      </c>
      <c r="CQ2107" s="584" t="s">
        <v>6573</v>
      </c>
      <c r="CR2107" s="584" t="s">
        <v>6573</v>
      </c>
      <c r="CS2107" s="584" t="s">
        <v>1890</v>
      </c>
      <c r="CT2107" s="584" t="s">
        <v>6545</v>
      </c>
      <c r="CU2107" s="584" t="s">
        <v>1892</v>
      </c>
      <c r="CV2107" s="585" t="s">
        <v>1893</v>
      </c>
    </row>
    <row r="2108" spans="91:100" x14ac:dyDescent="0.25">
      <c r="CM2108" s="582"/>
      <c r="CN2108" s="584" t="s">
        <v>6574</v>
      </c>
      <c r="CO2108" s="584" t="s">
        <v>1917</v>
      </c>
      <c r="CP2108" s="584" t="s">
        <v>2535</v>
      </c>
      <c r="CQ2108" s="584" t="s">
        <v>6575</v>
      </c>
      <c r="CR2108" s="584" t="s">
        <v>6575</v>
      </c>
      <c r="CS2108" s="584" t="s">
        <v>1890</v>
      </c>
      <c r="CT2108" s="584" t="s">
        <v>6545</v>
      </c>
      <c r="CU2108" s="584" t="s">
        <v>1892</v>
      </c>
      <c r="CV2108" s="585" t="s">
        <v>1893</v>
      </c>
    </row>
    <row r="2109" spans="91:100" x14ac:dyDescent="0.25">
      <c r="CM2109" s="582"/>
      <c r="CN2109" s="584" t="s">
        <v>6576</v>
      </c>
      <c r="CO2109" s="584" t="s">
        <v>1917</v>
      </c>
      <c r="CP2109" s="584" t="s">
        <v>2535</v>
      </c>
      <c r="CQ2109" s="584" t="s">
        <v>6577</v>
      </c>
      <c r="CR2109" s="584" t="s">
        <v>6577</v>
      </c>
      <c r="CS2109" s="584" t="s">
        <v>1978</v>
      </c>
      <c r="CT2109" s="584" t="s">
        <v>2542</v>
      </c>
      <c r="CU2109" s="584" t="s">
        <v>1892</v>
      </c>
      <c r="CV2109" s="585" t="s">
        <v>1980</v>
      </c>
    </row>
    <row r="2110" spans="91:100" x14ac:dyDescent="0.25">
      <c r="CM2110" s="582"/>
      <c r="CN2110" s="584" t="s">
        <v>6578</v>
      </c>
      <c r="CO2110" s="584" t="s">
        <v>1917</v>
      </c>
      <c r="CP2110" s="584" t="s">
        <v>2535</v>
      </c>
      <c r="CQ2110" s="584" t="s">
        <v>6579</v>
      </c>
      <c r="CR2110" s="584" t="s">
        <v>6579</v>
      </c>
      <c r="CS2110" s="584" t="s">
        <v>1978</v>
      </c>
      <c r="CT2110" s="584" t="s">
        <v>2542</v>
      </c>
      <c r="CU2110" s="584" t="s">
        <v>1892</v>
      </c>
      <c r="CV2110" s="585" t="s">
        <v>1980</v>
      </c>
    </row>
    <row r="2111" spans="91:100" x14ac:dyDescent="0.25">
      <c r="CM2111" s="582"/>
      <c r="CN2111" s="584" t="s">
        <v>6580</v>
      </c>
      <c r="CO2111" s="584" t="s">
        <v>1917</v>
      </c>
      <c r="CP2111" s="584" t="s">
        <v>2535</v>
      </c>
      <c r="CQ2111" s="584" t="s">
        <v>6581</v>
      </c>
      <c r="CR2111" s="584" t="s">
        <v>6582</v>
      </c>
      <c r="CS2111" s="584" t="s">
        <v>1890</v>
      </c>
      <c r="CT2111" s="584" t="s">
        <v>6545</v>
      </c>
      <c r="CU2111" s="584" t="s">
        <v>1892</v>
      </c>
      <c r="CV2111" s="585" t="s">
        <v>1893</v>
      </c>
    </row>
    <row r="2112" spans="91:100" ht="25.5" x14ac:dyDescent="0.25">
      <c r="CM2112" s="582"/>
      <c r="CN2112" s="584" t="s">
        <v>6583</v>
      </c>
      <c r="CO2112" s="584" t="s">
        <v>1917</v>
      </c>
      <c r="CP2112" s="584" t="s">
        <v>2535</v>
      </c>
      <c r="CQ2112" s="584" t="s">
        <v>6584</v>
      </c>
      <c r="CR2112" s="584" t="s">
        <v>6585</v>
      </c>
      <c r="CS2112" s="584" t="s">
        <v>1890</v>
      </c>
      <c r="CT2112" s="584" t="s">
        <v>6586</v>
      </c>
      <c r="CU2112" s="584" t="s">
        <v>2185</v>
      </c>
      <c r="CV2112" s="585" t="s">
        <v>1980</v>
      </c>
    </row>
    <row r="2113" spans="91:100" x14ac:dyDescent="0.25">
      <c r="CM2113" s="582"/>
      <c r="CN2113" s="584" t="s">
        <v>6587</v>
      </c>
      <c r="CO2113" s="584" t="s">
        <v>1917</v>
      </c>
      <c r="CP2113" s="584" t="s">
        <v>2535</v>
      </c>
      <c r="CQ2113" s="584" t="s">
        <v>6588</v>
      </c>
      <c r="CR2113" s="584" t="s">
        <v>6589</v>
      </c>
      <c r="CS2113" s="584" t="s">
        <v>1890</v>
      </c>
      <c r="CT2113" s="584" t="s">
        <v>6545</v>
      </c>
      <c r="CU2113" s="584" t="s">
        <v>1892</v>
      </c>
      <c r="CV2113" s="585" t="s">
        <v>1893</v>
      </c>
    </row>
    <row r="2114" spans="91:100" x14ac:dyDescent="0.25">
      <c r="CM2114" s="582"/>
      <c r="CN2114" s="584" t="s">
        <v>6590</v>
      </c>
      <c r="CO2114" s="584" t="s">
        <v>1917</v>
      </c>
      <c r="CP2114" s="584" t="s">
        <v>2535</v>
      </c>
      <c r="CQ2114" s="584" t="s">
        <v>6591</v>
      </c>
      <c r="CR2114" s="584" t="s">
        <v>6591</v>
      </c>
      <c r="CS2114" s="584" t="s">
        <v>1890</v>
      </c>
      <c r="CT2114" s="584" t="s">
        <v>6545</v>
      </c>
      <c r="CU2114" s="584" t="s">
        <v>1892</v>
      </c>
      <c r="CV2114" s="585" t="s">
        <v>1893</v>
      </c>
    </row>
    <row r="2115" spans="91:100" x14ac:dyDescent="0.25">
      <c r="CM2115" s="582"/>
      <c r="CN2115" s="584" t="s">
        <v>6592</v>
      </c>
      <c r="CO2115" s="584" t="s">
        <v>1917</v>
      </c>
      <c r="CP2115" s="584" t="s">
        <v>2535</v>
      </c>
      <c r="CQ2115" s="584" t="s">
        <v>6593</v>
      </c>
      <c r="CR2115" s="584" t="s">
        <v>6594</v>
      </c>
      <c r="CS2115" s="584" t="s">
        <v>1890</v>
      </c>
      <c r="CT2115" s="584" t="s">
        <v>6545</v>
      </c>
      <c r="CU2115" s="584" t="s">
        <v>1892</v>
      </c>
      <c r="CV2115" s="585" t="s">
        <v>1893</v>
      </c>
    </row>
    <row r="2116" spans="91:100" x14ac:dyDescent="0.25">
      <c r="CM2116" s="582"/>
      <c r="CN2116" s="584" t="s">
        <v>6595</v>
      </c>
      <c r="CO2116" s="584" t="s">
        <v>1917</v>
      </c>
      <c r="CP2116" s="584" t="s">
        <v>2535</v>
      </c>
      <c r="CQ2116" s="584" t="s">
        <v>6596</v>
      </c>
      <c r="CR2116" s="584" t="s">
        <v>6596</v>
      </c>
      <c r="CS2116" s="584" t="s">
        <v>1890</v>
      </c>
      <c r="CT2116" s="584" t="s">
        <v>6545</v>
      </c>
      <c r="CU2116" s="584" t="s">
        <v>1892</v>
      </c>
      <c r="CV2116" s="585" t="s">
        <v>1893</v>
      </c>
    </row>
    <row r="2117" spans="91:100" x14ac:dyDescent="0.25">
      <c r="CM2117" s="582"/>
      <c r="CN2117" s="584" t="s">
        <v>6597</v>
      </c>
      <c r="CO2117" s="584" t="s">
        <v>1917</v>
      </c>
      <c r="CP2117" s="584" t="s">
        <v>2535</v>
      </c>
      <c r="CQ2117" s="584" t="s">
        <v>6598</v>
      </c>
      <c r="CR2117" s="584" t="s">
        <v>6598</v>
      </c>
      <c r="CS2117" s="584" t="s">
        <v>1890</v>
      </c>
      <c r="CT2117" s="584" t="s">
        <v>6545</v>
      </c>
      <c r="CU2117" s="584" t="s">
        <v>1892</v>
      </c>
      <c r="CV2117" s="585" t="s">
        <v>1893</v>
      </c>
    </row>
    <row r="2118" spans="91:100" x14ac:dyDescent="0.25">
      <c r="CM2118" s="582"/>
      <c r="CN2118" s="584" t="s">
        <v>6599</v>
      </c>
      <c r="CO2118" s="584" t="s">
        <v>1917</v>
      </c>
      <c r="CP2118" s="584" t="s">
        <v>2535</v>
      </c>
      <c r="CQ2118" s="584" t="s">
        <v>6600</v>
      </c>
      <c r="CR2118" s="584" t="s">
        <v>6601</v>
      </c>
      <c r="CS2118" s="584" t="s">
        <v>1890</v>
      </c>
      <c r="CT2118" s="584" t="s">
        <v>6545</v>
      </c>
      <c r="CU2118" s="584" t="s">
        <v>1892</v>
      </c>
      <c r="CV2118" s="585" t="s">
        <v>1893</v>
      </c>
    </row>
    <row r="2119" spans="91:100" x14ac:dyDescent="0.25">
      <c r="CM2119" s="582"/>
      <c r="CN2119" s="584" t="s">
        <v>6602</v>
      </c>
      <c r="CO2119" s="584" t="s">
        <v>1917</v>
      </c>
      <c r="CP2119" s="584" t="s">
        <v>2535</v>
      </c>
      <c r="CQ2119" s="584" t="s">
        <v>6603</v>
      </c>
      <c r="CR2119" s="584" t="s">
        <v>6603</v>
      </c>
      <c r="CS2119" s="584" t="s">
        <v>1890</v>
      </c>
      <c r="CT2119" s="584" t="s">
        <v>6545</v>
      </c>
      <c r="CU2119" s="584" t="s">
        <v>1892</v>
      </c>
      <c r="CV2119" s="585" t="s">
        <v>1893</v>
      </c>
    </row>
    <row r="2120" spans="91:100" x14ac:dyDescent="0.25">
      <c r="CM2120" s="582"/>
      <c r="CN2120" s="584" t="s">
        <v>6604</v>
      </c>
      <c r="CO2120" s="584" t="s">
        <v>1917</v>
      </c>
      <c r="CP2120" s="584" t="s">
        <v>2535</v>
      </c>
      <c r="CQ2120" s="584" t="s">
        <v>6605</v>
      </c>
      <c r="CR2120" s="584" t="s">
        <v>6605</v>
      </c>
      <c r="CS2120" s="584" t="s">
        <v>1978</v>
      </c>
      <c r="CT2120" s="584" t="s">
        <v>2542</v>
      </c>
      <c r="CU2120" s="584" t="s">
        <v>1892</v>
      </c>
      <c r="CV2120" s="585" t="s">
        <v>1980</v>
      </c>
    </row>
    <row r="2121" spans="91:100" x14ac:dyDescent="0.25">
      <c r="CM2121" s="582"/>
      <c r="CN2121" s="584" t="s">
        <v>6606</v>
      </c>
      <c r="CO2121" s="584" t="s">
        <v>1917</v>
      </c>
      <c r="CP2121" s="584" t="s">
        <v>2535</v>
      </c>
      <c r="CQ2121" s="584" t="s">
        <v>6607</v>
      </c>
      <c r="CR2121" s="584" t="s">
        <v>6607</v>
      </c>
      <c r="CS2121" s="584" t="s">
        <v>1890</v>
      </c>
      <c r="CT2121" s="584" t="s">
        <v>6545</v>
      </c>
      <c r="CU2121" s="584" t="s">
        <v>1892</v>
      </c>
      <c r="CV2121" s="585" t="s">
        <v>1893</v>
      </c>
    </row>
    <row r="2122" spans="91:100" x14ac:dyDescent="0.25">
      <c r="CM2122" s="582"/>
      <c r="CN2122" s="584" t="s">
        <v>6608</v>
      </c>
      <c r="CO2122" s="584" t="s">
        <v>1917</v>
      </c>
      <c r="CP2122" s="584" t="s">
        <v>2535</v>
      </c>
      <c r="CQ2122" s="584" t="s">
        <v>6609</v>
      </c>
      <c r="CR2122" s="584" t="s">
        <v>6609</v>
      </c>
      <c r="CS2122" s="584" t="s">
        <v>1890</v>
      </c>
      <c r="CT2122" s="584" t="s">
        <v>6545</v>
      </c>
      <c r="CU2122" s="584" t="s">
        <v>1892</v>
      </c>
      <c r="CV2122" s="585" t="s">
        <v>1893</v>
      </c>
    </row>
    <row r="2123" spans="91:100" x14ac:dyDescent="0.25">
      <c r="CM2123" s="582"/>
      <c r="CN2123" s="584" t="s">
        <v>6610</v>
      </c>
      <c r="CO2123" s="584" t="s">
        <v>1917</v>
      </c>
      <c r="CP2123" s="584" t="s">
        <v>2535</v>
      </c>
      <c r="CQ2123" s="584" t="s">
        <v>6611</v>
      </c>
      <c r="CR2123" s="584" t="s">
        <v>6611</v>
      </c>
      <c r="CS2123" s="584" t="s">
        <v>1978</v>
      </c>
      <c r="CT2123" s="584" t="s">
        <v>2542</v>
      </c>
      <c r="CU2123" s="584" t="s">
        <v>1892</v>
      </c>
      <c r="CV2123" s="585" t="s">
        <v>1980</v>
      </c>
    </row>
    <row r="2124" spans="91:100" x14ac:dyDescent="0.25">
      <c r="CM2124" s="582"/>
      <c r="CN2124" s="584" t="s">
        <v>6612</v>
      </c>
      <c r="CO2124" s="584" t="s">
        <v>1917</v>
      </c>
      <c r="CP2124" s="584" t="s">
        <v>2535</v>
      </c>
      <c r="CQ2124" s="584" t="s">
        <v>6613</v>
      </c>
      <c r="CR2124" s="584" t="s">
        <v>6613</v>
      </c>
      <c r="CS2124" s="584" t="s">
        <v>1890</v>
      </c>
      <c r="CT2124" s="584" t="s">
        <v>6545</v>
      </c>
      <c r="CU2124" s="584" t="s">
        <v>1892</v>
      </c>
      <c r="CV2124" s="585" t="s">
        <v>1893</v>
      </c>
    </row>
    <row r="2125" spans="91:100" x14ac:dyDescent="0.25">
      <c r="CM2125" s="582"/>
      <c r="CN2125" s="584" t="s">
        <v>6614</v>
      </c>
      <c r="CO2125" s="584" t="s">
        <v>1917</v>
      </c>
      <c r="CP2125" s="584" t="s">
        <v>2535</v>
      </c>
      <c r="CQ2125" s="584" t="s">
        <v>6615</v>
      </c>
      <c r="CR2125" s="584" t="s">
        <v>6615</v>
      </c>
      <c r="CS2125" s="584" t="s">
        <v>1890</v>
      </c>
      <c r="CT2125" s="584" t="s">
        <v>6545</v>
      </c>
      <c r="CU2125" s="584" t="s">
        <v>1892</v>
      </c>
      <c r="CV2125" s="585" t="s">
        <v>1893</v>
      </c>
    </row>
    <row r="2126" spans="91:100" x14ac:dyDescent="0.25">
      <c r="CM2126" s="582"/>
      <c r="CN2126" s="584" t="s">
        <v>6616</v>
      </c>
      <c r="CO2126" s="584" t="s">
        <v>1917</v>
      </c>
      <c r="CP2126" s="584" t="s">
        <v>2535</v>
      </c>
      <c r="CQ2126" s="584" t="s">
        <v>6617</v>
      </c>
      <c r="CR2126" s="584" t="s">
        <v>6617</v>
      </c>
      <c r="CS2126" s="584" t="s">
        <v>1890</v>
      </c>
      <c r="CT2126" s="584" t="s">
        <v>6545</v>
      </c>
      <c r="CU2126" s="584" t="s">
        <v>1892</v>
      </c>
      <c r="CV2126" s="585" t="s">
        <v>1893</v>
      </c>
    </row>
    <row r="2127" spans="91:100" x14ac:dyDescent="0.25">
      <c r="CM2127" s="582"/>
      <c r="CN2127" s="584" t="s">
        <v>6618</v>
      </c>
      <c r="CO2127" s="584" t="s">
        <v>1917</v>
      </c>
      <c r="CP2127" s="584" t="s">
        <v>2535</v>
      </c>
      <c r="CQ2127" s="584" t="s">
        <v>6619</v>
      </c>
      <c r="CR2127" s="584" t="s">
        <v>6620</v>
      </c>
      <c r="CS2127" s="584" t="s">
        <v>1890</v>
      </c>
      <c r="CT2127" s="584" t="s">
        <v>6545</v>
      </c>
      <c r="CU2127" s="584" t="s">
        <v>1892</v>
      </c>
      <c r="CV2127" s="585" t="s">
        <v>1893</v>
      </c>
    </row>
    <row r="2128" spans="91:100" x14ac:dyDescent="0.25">
      <c r="CM2128" s="582"/>
      <c r="CN2128" s="584" t="s">
        <v>6621</v>
      </c>
      <c r="CO2128" s="584" t="s">
        <v>1917</v>
      </c>
      <c r="CP2128" s="584" t="s">
        <v>2535</v>
      </c>
      <c r="CQ2128" s="584" t="s">
        <v>6622</v>
      </c>
      <c r="CR2128" s="584" t="s">
        <v>6622</v>
      </c>
      <c r="CS2128" s="584" t="s">
        <v>1890</v>
      </c>
      <c r="CT2128" s="584" t="s">
        <v>6545</v>
      </c>
      <c r="CU2128" s="584" t="s">
        <v>1892</v>
      </c>
      <c r="CV2128" s="585" t="s">
        <v>1893</v>
      </c>
    </row>
    <row r="2129" spans="91:100" x14ac:dyDescent="0.25">
      <c r="CM2129" s="582"/>
      <c r="CN2129" s="584" t="s">
        <v>6623</v>
      </c>
      <c r="CO2129" s="584" t="s">
        <v>1917</v>
      </c>
      <c r="CP2129" s="584" t="s">
        <v>2535</v>
      </c>
      <c r="CQ2129" s="584" t="s">
        <v>6624</v>
      </c>
      <c r="CR2129" s="584" t="s">
        <v>6624</v>
      </c>
      <c r="CS2129" s="584" t="s">
        <v>1890</v>
      </c>
      <c r="CT2129" s="584" t="s">
        <v>6545</v>
      </c>
      <c r="CU2129" s="584" t="s">
        <v>1892</v>
      </c>
      <c r="CV2129" s="585" t="s">
        <v>1893</v>
      </c>
    </row>
    <row r="2130" spans="91:100" x14ac:dyDescent="0.25">
      <c r="CM2130" s="582"/>
      <c r="CN2130" s="584" t="s">
        <v>6625</v>
      </c>
      <c r="CO2130" s="584" t="s">
        <v>1917</v>
      </c>
      <c r="CP2130" s="584" t="s">
        <v>2535</v>
      </c>
      <c r="CQ2130" s="584" t="s">
        <v>6626</v>
      </c>
      <c r="CR2130" s="584" t="s">
        <v>6626</v>
      </c>
      <c r="CS2130" s="584" t="s">
        <v>1890</v>
      </c>
      <c r="CT2130" s="584" t="s">
        <v>6545</v>
      </c>
      <c r="CU2130" s="584" t="s">
        <v>1892</v>
      </c>
      <c r="CV2130" s="585" t="s">
        <v>1893</v>
      </c>
    </row>
    <row r="2131" spans="91:100" x14ac:dyDescent="0.25">
      <c r="CM2131" s="582"/>
      <c r="CN2131" s="584" t="s">
        <v>6627</v>
      </c>
      <c r="CO2131" s="584" t="s">
        <v>1917</v>
      </c>
      <c r="CP2131" s="584" t="s">
        <v>1888</v>
      </c>
      <c r="CQ2131" s="584" t="s">
        <v>6628</v>
      </c>
      <c r="CR2131" s="584" t="s">
        <v>6628</v>
      </c>
      <c r="CS2131" s="584" t="s">
        <v>1890</v>
      </c>
      <c r="CT2131" s="584" t="s">
        <v>6629</v>
      </c>
      <c r="CU2131" s="584" t="s">
        <v>1892</v>
      </c>
      <c r="CV2131" s="585" t="s">
        <v>1893</v>
      </c>
    </row>
    <row r="2132" spans="91:100" x14ac:dyDescent="0.25">
      <c r="CM2132" s="582"/>
      <c r="CN2132" s="584" t="s">
        <v>6630</v>
      </c>
      <c r="CO2132" s="584" t="s">
        <v>1917</v>
      </c>
      <c r="CP2132" s="584" t="s">
        <v>2535</v>
      </c>
      <c r="CQ2132" s="584" t="s">
        <v>6631</v>
      </c>
      <c r="CR2132" s="584" t="s">
        <v>6631</v>
      </c>
      <c r="CS2132" s="584" t="s">
        <v>1978</v>
      </c>
      <c r="CT2132" s="584" t="s">
        <v>2542</v>
      </c>
      <c r="CU2132" s="584" t="s">
        <v>1892</v>
      </c>
      <c r="CV2132" s="585" t="s">
        <v>1980</v>
      </c>
    </row>
    <row r="2133" spans="91:100" x14ac:dyDescent="0.25">
      <c r="CM2133" s="582"/>
      <c r="CN2133" s="584" t="s">
        <v>6632</v>
      </c>
      <c r="CO2133" s="584" t="s">
        <v>1917</v>
      </c>
      <c r="CP2133" s="584" t="s">
        <v>2535</v>
      </c>
      <c r="CQ2133" s="584" t="s">
        <v>6633</v>
      </c>
      <c r="CR2133" s="584" t="s">
        <v>6634</v>
      </c>
      <c r="CS2133" s="584" t="s">
        <v>1890</v>
      </c>
      <c r="CT2133" s="584" t="s">
        <v>6545</v>
      </c>
      <c r="CU2133" s="584" t="s">
        <v>1892</v>
      </c>
      <c r="CV2133" s="585" t="s">
        <v>1893</v>
      </c>
    </row>
    <row r="2134" spans="91:100" x14ac:dyDescent="0.25">
      <c r="CM2134" s="582"/>
      <c r="CN2134" s="584" t="s">
        <v>6635</v>
      </c>
      <c r="CO2134" s="584" t="s">
        <v>648</v>
      </c>
      <c r="CP2134" s="584" t="s">
        <v>1888</v>
      </c>
      <c r="CQ2134" s="584" t="s">
        <v>2473</v>
      </c>
      <c r="CR2134" s="584" t="s">
        <v>2473</v>
      </c>
      <c r="CS2134" s="584" t="s">
        <v>1890</v>
      </c>
      <c r="CT2134" s="584" t="s">
        <v>6636</v>
      </c>
      <c r="CU2134" s="584" t="s">
        <v>1892</v>
      </c>
      <c r="CV2134" s="585" t="s">
        <v>1893</v>
      </c>
    </row>
    <row r="2135" spans="91:100" x14ac:dyDescent="0.25">
      <c r="CM2135" s="582"/>
      <c r="CN2135" s="584" t="s">
        <v>6637</v>
      </c>
      <c r="CO2135" s="584" t="s">
        <v>648</v>
      </c>
      <c r="CP2135" s="584" t="s">
        <v>1888</v>
      </c>
      <c r="CQ2135" s="584" t="s">
        <v>6638</v>
      </c>
      <c r="CR2135" s="584" t="s">
        <v>6638</v>
      </c>
      <c r="CS2135" s="584" t="s">
        <v>1890</v>
      </c>
      <c r="CT2135" s="584" t="s">
        <v>6636</v>
      </c>
      <c r="CU2135" s="584" t="s">
        <v>1892</v>
      </c>
      <c r="CV2135" s="585" t="s">
        <v>1893</v>
      </c>
    </row>
    <row r="2136" spans="91:100" x14ac:dyDescent="0.25">
      <c r="CM2136" s="582"/>
      <c r="CN2136" s="584" t="s">
        <v>6639</v>
      </c>
      <c r="CO2136" s="584" t="s">
        <v>648</v>
      </c>
      <c r="CP2136" s="584" t="s">
        <v>1888</v>
      </c>
      <c r="CQ2136" s="584" t="s">
        <v>6640</v>
      </c>
      <c r="CR2136" s="584" t="s">
        <v>6640</v>
      </c>
      <c r="CS2136" s="584" t="s">
        <v>1890</v>
      </c>
      <c r="CT2136" s="584" t="s">
        <v>6636</v>
      </c>
      <c r="CU2136" s="584" t="s">
        <v>1892</v>
      </c>
      <c r="CV2136" s="585" t="s">
        <v>1893</v>
      </c>
    </row>
    <row r="2137" spans="91:100" x14ac:dyDescent="0.25">
      <c r="CM2137" s="582"/>
      <c r="CN2137" s="584" t="s">
        <v>6641</v>
      </c>
      <c r="CO2137" s="584" t="s">
        <v>648</v>
      </c>
      <c r="CP2137" s="584" t="s">
        <v>1888</v>
      </c>
      <c r="CQ2137" s="584" t="s">
        <v>6642</v>
      </c>
      <c r="CR2137" s="584" t="s">
        <v>6642</v>
      </c>
      <c r="CS2137" s="584" t="s">
        <v>1890</v>
      </c>
      <c r="CT2137" s="584" t="s">
        <v>6636</v>
      </c>
      <c r="CU2137" s="584" t="s">
        <v>1892</v>
      </c>
      <c r="CV2137" s="585" t="s">
        <v>1893</v>
      </c>
    </row>
    <row r="2138" spans="91:100" x14ac:dyDescent="0.25">
      <c r="CM2138" s="582"/>
      <c r="CN2138" s="584" t="s">
        <v>6643</v>
      </c>
      <c r="CO2138" s="584" t="s">
        <v>648</v>
      </c>
      <c r="CP2138" s="584" t="s">
        <v>1888</v>
      </c>
      <c r="CQ2138" s="584" t="s">
        <v>902</v>
      </c>
      <c r="CR2138" s="584" t="s">
        <v>902</v>
      </c>
      <c r="CS2138" s="584" t="s">
        <v>1890</v>
      </c>
      <c r="CT2138" s="584" t="s">
        <v>6636</v>
      </c>
      <c r="CU2138" s="584" t="s">
        <v>1892</v>
      </c>
      <c r="CV2138" s="585" t="s">
        <v>1893</v>
      </c>
    </row>
    <row r="2139" spans="91:100" x14ac:dyDescent="0.25">
      <c r="CM2139" s="582"/>
      <c r="CN2139" s="584" t="s">
        <v>6644</v>
      </c>
      <c r="CO2139" s="584" t="s">
        <v>648</v>
      </c>
      <c r="CP2139" s="584" t="s">
        <v>1888</v>
      </c>
      <c r="CQ2139" s="584" t="s">
        <v>6645</v>
      </c>
      <c r="CR2139" s="584" t="s">
        <v>6645</v>
      </c>
      <c r="CS2139" s="584" t="s">
        <v>1890</v>
      </c>
      <c r="CT2139" s="584" t="s">
        <v>6636</v>
      </c>
      <c r="CU2139" s="584" t="s">
        <v>1892</v>
      </c>
      <c r="CV2139" s="585" t="s">
        <v>1893</v>
      </c>
    </row>
    <row r="2140" spans="91:100" x14ac:dyDescent="0.25">
      <c r="CM2140" s="582"/>
      <c r="CN2140" s="584" t="s">
        <v>6646</v>
      </c>
      <c r="CO2140" s="584" t="s">
        <v>648</v>
      </c>
      <c r="CP2140" s="584" t="s">
        <v>1888</v>
      </c>
      <c r="CQ2140" s="584" t="s">
        <v>6647</v>
      </c>
      <c r="CR2140" s="584" t="s">
        <v>6647</v>
      </c>
      <c r="CS2140" s="584" t="s">
        <v>1978</v>
      </c>
      <c r="CT2140" s="584" t="s">
        <v>1979</v>
      </c>
      <c r="CU2140" s="584" t="s">
        <v>1892</v>
      </c>
      <c r="CV2140" s="585" t="s">
        <v>1980</v>
      </c>
    </row>
    <row r="2141" spans="91:100" x14ac:dyDescent="0.25">
      <c r="CM2141" s="582"/>
      <c r="CN2141" s="584" t="s">
        <v>6648</v>
      </c>
      <c r="CO2141" s="584" t="s">
        <v>648</v>
      </c>
      <c r="CP2141" s="584" t="s">
        <v>1888</v>
      </c>
      <c r="CQ2141" s="584" t="s">
        <v>6649</v>
      </c>
      <c r="CR2141" s="584" t="s">
        <v>6649</v>
      </c>
      <c r="CS2141" s="584" t="s">
        <v>1978</v>
      </c>
      <c r="CT2141" s="584" t="s">
        <v>1979</v>
      </c>
      <c r="CU2141" s="584" t="s">
        <v>1892</v>
      </c>
      <c r="CV2141" s="585" t="s">
        <v>1980</v>
      </c>
    </row>
    <row r="2142" spans="91:100" x14ac:dyDescent="0.25">
      <c r="CM2142" s="582"/>
      <c r="CN2142" s="584" t="s">
        <v>6650</v>
      </c>
      <c r="CO2142" s="584" t="s">
        <v>648</v>
      </c>
      <c r="CP2142" s="584" t="s">
        <v>1888</v>
      </c>
      <c r="CQ2142" s="584" t="s">
        <v>6651</v>
      </c>
      <c r="CR2142" s="584" t="s">
        <v>6651</v>
      </c>
      <c r="CS2142" s="584" t="s">
        <v>1890</v>
      </c>
      <c r="CT2142" s="584" t="s">
        <v>6636</v>
      </c>
      <c r="CU2142" s="584" t="s">
        <v>1892</v>
      </c>
      <c r="CV2142" s="585" t="s">
        <v>1893</v>
      </c>
    </row>
    <row r="2143" spans="91:100" x14ac:dyDescent="0.25">
      <c r="CM2143" s="582"/>
      <c r="CN2143" s="584" t="s">
        <v>6652</v>
      </c>
      <c r="CO2143" s="584" t="s">
        <v>648</v>
      </c>
      <c r="CP2143" s="584" t="s">
        <v>1888</v>
      </c>
      <c r="CQ2143" s="584" t="s">
        <v>6653</v>
      </c>
      <c r="CR2143" s="584" t="s">
        <v>6654</v>
      </c>
      <c r="CS2143" s="584" t="s">
        <v>1890</v>
      </c>
      <c r="CT2143" s="584" t="s">
        <v>6636</v>
      </c>
      <c r="CU2143" s="584" t="s">
        <v>1892</v>
      </c>
      <c r="CV2143" s="585" t="s">
        <v>1893</v>
      </c>
    </row>
    <row r="2144" spans="91:100" x14ac:dyDescent="0.25">
      <c r="CM2144" s="582"/>
      <c r="CN2144" s="584" t="s">
        <v>6655</v>
      </c>
      <c r="CO2144" s="584" t="s">
        <v>648</v>
      </c>
      <c r="CP2144" s="584" t="s">
        <v>1888</v>
      </c>
      <c r="CQ2144" s="584" t="s">
        <v>6656</v>
      </c>
      <c r="CR2144" s="584" t="s">
        <v>6657</v>
      </c>
      <c r="CS2144" s="584" t="s">
        <v>1890</v>
      </c>
      <c r="CT2144" s="584" t="s">
        <v>6636</v>
      </c>
      <c r="CU2144" s="584" t="s">
        <v>1892</v>
      </c>
      <c r="CV2144" s="585" t="s">
        <v>1893</v>
      </c>
    </row>
    <row r="2145" spans="91:100" x14ac:dyDescent="0.25">
      <c r="CM2145" s="582"/>
      <c r="CN2145" s="584" t="s">
        <v>6658</v>
      </c>
      <c r="CO2145" s="584" t="s">
        <v>648</v>
      </c>
      <c r="CP2145" s="584" t="s">
        <v>1888</v>
      </c>
      <c r="CQ2145" s="584" t="s">
        <v>6659</v>
      </c>
      <c r="CR2145" s="584" t="s">
        <v>6659</v>
      </c>
      <c r="CS2145" s="584" t="s">
        <v>1890</v>
      </c>
      <c r="CT2145" s="584" t="s">
        <v>6636</v>
      </c>
      <c r="CU2145" s="584" t="s">
        <v>1892</v>
      </c>
      <c r="CV2145" s="585" t="s">
        <v>1893</v>
      </c>
    </row>
    <row r="2146" spans="91:100" x14ac:dyDescent="0.25">
      <c r="CM2146" s="582"/>
      <c r="CN2146" s="584" t="s">
        <v>6660</v>
      </c>
      <c r="CO2146" s="584" t="s">
        <v>648</v>
      </c>
      <c r="CP2146" s="584" t="s">
        <v>1888</v>
      </c>
      <c r="CQ2146" s="584" t="s">
        <v>6661</v>
      </c>
      <c r="CR2146" s="584" t="s">
        <v>6661</v>
      </c>
      <c r="CS2146" s="584" t="s">
        <v>1890</v>
      </c>
      <c r="CT2146" s="584" t="s">
        <v>6636</v>
      </c>
      <c r="CU2146" s="584" t="s">
        <v>1892</v>
      </c>
      <c r="CV2146" s="585" t="s">
        <v>1893</v>
      </c>
    </row>
    <row r="2147" spans="91:100" x14ac:dyDescent="0.25">
      <c r="CM2147" s="582"/>
      <c r="CN2147" s="584" t="s">
        <v>6662</v>
      </c>
      <c r="CO2147" s="584" t="s">
        <v>648</v>
      </c>
      <c r="CP2147" s="584" t="s">
        <v>2535</v>
      </c>
      <c r="CQ2147" s="584" t="s">
        <v>2463</v>
      </c>
      <c r="CR2147" s="584" t="s">
        <v>2463</v>
      </c>
      <c r="CS2147" s="584" t="s">
        <v>1890</v>
      </c>
      <c r="CT2147" s="584" t="s">
        <v>6663</v>
      </c>
      <c r="CU2147" s="584" t="s">
        <v>1892</v>
      </c>
      <c r="CV2147" s="585" t="s">
        <v>1893</v>
      </c>
    </row>
    <row r="2148" spans="91:100" x14ac:dyDescent="0.25">
      <c r="CM2148" s="582"/>
      <c r="CN2148" s="584" t="s">
        <v>6664</v>
      </c>
      <c r="CO2148" s="584" t="s">
        <v>648</v>
      </c>
      <c r="CP2148" s="584" t="s">
        <v>2535</v>
      </c>
      <c r="CQ2148" s="584" t="s">
        <v>2517</v>
      </c>
      <c r="CR2148" s="584" t="s">
        <v>2517</v>
      </c>
      <c r="CS2148" s="584" t="s">
        <v>1890</v>
      </c>
      <c r="CT2148" s="584" t="s">
        <v>6663</v>
      </c>
      <c r="CU2148" s="584" t="s">
        <v>1892</v>
      </c>
      <c r="CV2148" s="585" t="s">
        <v>1893</v>
      </c>
    </row>
    <row r="2149" spans="91:100" x14ac:dyDescent="0.25">
      <c r="CM2149" s="582"/>
      <c r="CN2149" s="584" t="s">
        <v>6665</v>
      </c>
      <c r="CO2149" s="584" t="s">
        <v>648</v>
      </c>
      <c r="CP2149" s="584" t="s">
        <v>2535</v>
      </c>
      <c r="CQ2149" s="584" t="s">
        <v>2523</v>
      </c>
      <c r="CR2149" s="584" t="s">
        <v>2524</v>
      </c>
      <c r="CS2149" s="584" t="s">
        <v>1890</v>
      </c>
      <c r="CT2149" s="584" t="s">
        <v>6663</v>
      </c>
      <c r="CU2149" s="584" t="s">
        <v>1892</v>
      </c>
      <c r="CV2149" s="585" t="s">
        <v>1893</v>
      </c>
    </row>
    <row r="2150" spans="91:100" x14ac:dyDescent="0.25">
      <c r="CM2150" s="582"/>
      <c r="CN2150" s="584" t="s">
        <v>6666</v>
      </c>
      <c r="CO2150" s="584" t="s">
        <v>648</v>
      </c>
      <c r="CP2150" s="584" t="s">
        <v>2535</v>
      </c>
      <c r="CQ2150" s="584" t="s">
        <v>6667</v>
      </c>
      <c r="CR2150" s="584" t="s">
        <v>6668</v>
      </c>
      <c r="CS2150" s="584" t="s">
        <v>1890</v>
      </c>
      <c r="CT2150" s="584" t="s">
        <v>6663</v>
      </c>
      <c r="CU2150" s="584" t="s">
        <v>1892</v>
      </c>
      <c r="CV2150" s="585" t="s">
        <v>1893</v>
      </c>
    </row>
    <row r="2151" spans="91:100" x14ac:dyDescent="0.25">
      <c r="CM2151" s="582"/>
      <c r="CN2151" s="584" t="s">
        <v>6669</v>
      </c>
      <c r="CO2151" s="584" t="s">
        <v>648</v>
      </c>
      <c r="CP2151" s="584" t="s">
        <v>2535</v>
      </c>
      <c r="CQ2151" s="584" t="s">
        <v>5141</v>
      </c>
      <c r="CR2151" s="584" t="s">
        <v>5142</v>
      </c>
      <c r="CS2151" s="584" t="s">
        <v>1890</v>
      </c>
      <c r="CT2151" s="584" t="s">
        <v>6663</v>
      </c>
      <c r="CU2151" s="584" t="s">
        <v>1892</v>
      </c>
      <c r="CV2151" s="585" t="s">
        <v>1893</v>
      </c>
    </row>
    <row r="2152" spans="91:100" x14ac:dyDescent="0.25">
      <c r="CM2152" s="582"/>
      <c r="CN2152" s="584" t="s">
        <v>6670</v>
      </c>
      <c r="CO2152" s="584" t="s">
        <v>648</v>
      </c>
      <c r="CP2152" s="584" t="s">
        <v>2535</v>
      </c>
      <c r="CQ2152" s="584" t="s">
        <v>6671</v>
      </c>
      <c r="CR2152" s="584" t="s">
        <v>6672</v>
      </c>
      <c r="CS2152" s="584" t="s">
        <v>1890</v>
      </c>
      <c r="CT2152" s="584" t="s">
        <v>6663</v>
      </c>
      <c r="CU2152" s="584" t="s">
        <v>1892</v>
      </c>
      <c r="CV2152" s="585" t="s">
        <v>1893</v>
      </c>
    </row>
    <row r="2153" spans="91:100" ht="25.5" x14ac:dyDescent="0.25">
      <c r="CM2153" s="582"/>
      <c r="CN2153" s="584" t="s">
        <v>6673</v>
      </c>
      <c r="CO2153" s="584" t="s">
        <v>1918</v>
      </c>
      <c r="CP2153" s="584" t="s">
        <v>1888</v>
      </c>
      <c r="CQ2153" s="584" t="s">
        <v>6674</v>
      </c>
      <c r="CR2153" s="584" t="s">
        <v>6674</v>
      </c>
      <c r="CS2153" s="584" t="s">
        <v>2583</v>
      </c>
      <c r="CT2153" s="584" t="s">
        <v>2584</v>
      </c>
      <c r="CU2153" s="584" t="s">
        <v>2585</v>
      </c>
      <c r="CV2153" s="585" t="s">
        <v>6675</v>
      </c>
    </row>
    <row r="2154" spans="91:100" ht="25.5" x14ac:dyDescent="0.25">
      <c r="CM2154" s="582"/>
      <c r="CN2154" s="584" t="s">
        <v>6676</v>
      </c>
      <c r="CO2154" s="584" t="s">
        <v>1918</v>
      </c>
      <c r="CP2154" s="584" t="s">
        <v>1888</v>
      </c>
      <c r="CQ2154" s="584" t="s">
        <v>6677</v>
      </c>
      <c r="CR2154" s="584" t="s">
        <v>6677</v>
      </c>
      <c r="CS2154" s="584" t="s">
        <v>2583</v>
      </c>
      <c r="CT2154" s="584" t="s">
        <v>2584</v>
      </c>
      <c r="CU2154" s="584" t="s">
        <v>2585</v>
      </c>
      <c r="CV2154" s="585" t="s">
        <v>6675</v>
      </c>
    </row>
    <row r="2155" spans="91:100" ht="25.5" x14ac:dyDescent="0.25">
      <c r="CM2155" s="582"/>
      <c r="CN2155" s="584" t="s">
        <v>6678</v>
      </c>
      <c r="CO2155" s="584" t="s">
        <v>1918</v>
      </c>
      <c r="CP2155" s="584" t="s">
        <v>1888</v>
      </c>
      <c r="CQ2155" s="584" t="s">
        <v>6679</v>
      </c>
      <c r="CR2155" s="584" t="s">
        <v>6679</v>
      </c>
      <c r="CS2155" s="584" t="s">
        <v>2583</v>
      </c>
      <c r="CT2155" s="584" t="s">
        <v>2584</v>
      </c>
      <c r="CU2155" s="584" t="s">
        <v>2585</v>
      </c>
      <c r="CV2155" s="585" t="s">
        <v>6675</v>
      </c>
    </row>
    <row r="2156" spans="91:100" ht="25.5" x14ac:dyDescent="0.25">
      <c r="CM2156" s="582"/>
      <c r="CN2156" s="584" t="s">
        <v>6680</v>
      </c>
      <c r="CO2156" s="584" t="s">
        <v>1918</v>
      </c>
      <c r="CP2156" s="584" t="s">
        <v>1888</v>
      </c>
      <c r="CQ2156" s="584" t="s">
        <v>6206</v>
      </c>
      <c r="CR2156" s="584" t="s">
        <v>6206</v>
      </c>
      <c r="CS2156" s="584" t="s">
        <v>2583</v>
      </c>
      <c r="CT2156" s="584" t="s">
        <v>2584</v>
      </c>
      <c r="CU2156" s="584" t="s">
        <v>2585</v>
      </c>
      <c r="CV2156" s="585" t="s">
        <v>6675</v>
      </c>
    </row>
    <row r="2157" spans="91:100" ht="25.5" x14ac:dyDescent="0.25">
      <c r="CM2157" s="582"/>
      <c r="CN2157" s="584" t="s">
        <v>6681</v>
      </c>
      <c r="CO2157" s="584" t="s">
        <v>1918</v>
      </c>
      <c r="CP2157" s="584" t="s">
        <v>1888</v>
      </c>
      <c r="CQ2157" s="584" t="s">
        <v>6682</v>
      </c>
      <c r="CR2157" s="584" t="s">
        <v>6682</v>
      </c>
      <c r="CS2157" s="584" t="s">
        <v>2583</v>
      </c>
      <c r="CT2157" s="584" t="s">
        <v>2584</v>
      </c>
      <c r="CU2157" s="584" t="s">
        <v>2585</v>
      </c>
      <c r="CV2157" s="585" t="s">
        <v>6675</v>
      </c>
    </row>
    <row r="2158" spans="91:100" x14ac:dyDescent="0.25">
      <c r="CM2158" s="582"/>
      <c r="CN2158" s="584" t="s">
        <v>6683</v>
      </c>
      <c r="CO2158" s="584" t="s">
        <v>1918</v>
      </c>
      <c r="CP2158" s="584" t="s">
        <v>1888</v>
      </c>
      <c r="CQ2158" s="584" t="s">
        <v>6208</v>
      </c>
      <c r="CR2158" s="584" t="s">
        <v>6208</v>
      </c>
      <c r="CS2158" s="584" t="s">
        <v>1978</v>
      </c>
      <c r="CT2158" s="584" t="s">
        <v>6684</v>
      </c>
      <c r="CU2158" s="584" t="s">
        <v>1892</v>
      </c>
      <c r="CV2158" s="585" t="s">
        <v>1980</v>
      </c>
    </row>
    <row r="2159" spans="91:100" ht="25.5" x14ac:dyDescent="0.25">
      <c r="CM2159" s="582"/>
      <c r="CN2159" s="584" t="s">
        <v>6685</v>
      </c>
      <c r="CO2159" s="584" t="s">
        <v>1918</v>
      </c>
      <c r="CP2159" s="584" t="s">
        <v>1888</v>
      </c>
      <c r="CQ2159" s="584" t="s">
        <v>6686</v>
      </c>
      <c r="CR2159" s="584" t="s">
        <v>6686</v>
      </c>
      <c r="CS2159" s="584" t="s">
        <v>2583</v>
      </c>
      <c r="CT2159" s="584" t="s">
        <v>2584</v>
      </c>
      <c r="CU2159" s="584" t="s">
        <v>2585</v>
      </c>
      <c r="CV2159" s="585" t="s">
        <v>6675</v>
      </c>
    </row>
    <row r="2160" spans="91:100" ht="25.5" x14ac:dyDescent="0.25">
      <c r="CM2160" s="582"/>
      <c r="CN2160" s="584" t="s">
        <v>6687</v>
      </c>
      <c r="CO2160" s="584" t="s">
        <v>1918</v>
      </c>
      <c r="CP2160" s="584" t="s">
        <v>1888</v>
      </c>
      <c r="CQ2160" s="584" t="s">
        <v>6688</v>
      </c>
      <c r="CR2160" s="584" t="s">
        <v>6688</v>
      </c>
      <c r="CS2160" s="584" t="s">
        <v>2583</v>
      </c>
      <c r="CT2160" s="584" t="s">
        <v>2584</v>
      </c>
      <c r="CU2160" s="584" t="s">
        <v>2585</v>
      </c>
      <c r="CV2160" s="585" t="s">
        <v>6675</v>
      </c>
    </row>
    <row r="2161" spans="91:100" ht="25.5" x14ac:dyDescent="0.25">
      <c r="CM2161" s="582"/>
      <c r="CN2161" s="584" t="s">
        <v>6689</v>
      </c>
      <c r="CO2161" s="584" t="s">
        <v>1918</v>
      </c>
      <c r="CP2161" s="584" t="s">
        <v>1888</v>
      </c>
      <c r="CQ2161" s="584" t="s">
        <v>6690</v>
      </c>
      <c r="CR2161" s="584" t="s">
        <v>6690</v>
      </c>
      <c r="CS2161" s="584" t="s">
        <v>2583</v>
      </c>
      <c r="CT2161" s="584" t="s">
        <v>2584</v>
      </c>
      <c r="CU2161" s="584" t="s">
        <v>2585</v>
      </c>
      <c r="CV2161" s="585" t="s">
        <v>6675</v>
      </c>
    </row>
    <row r="2162" spans="91:100" ht="25.5" x14ac:dyDescent="0.25">
      <c r="CM2162" s="582"/>
      <c r="CN2162" s="584" t="s">
        <v>6691</v>
      </c>
      <c r="CO2162" s="584" t="s">
        <v>1918</v>
      </c>
      <c r="CP2162" s="584" t="s">
        <v>1888</v>
      </c>
      <c r="CQ2162" s="584" t="s">
        <v>6692</v>
      </c>
      <c r="CR2162" s="584" t="s">
        <v>6692</v>
      </c>
      <c r="CS2162" s="584" t="s">
        <v>2583</v>
      </c>
      <c r="CT2162" s="584" t="s">
        <v>2584</v>
      </c>
      <c r="CU2162" s="584" t="s">
        <v>2585</v>
      </c>
      <c r="CV2162" s="585" t="s">
        <v>6675</v>
      </c>
    </row>
    <row r="2163" spans="91:100" ht="25.5" x14ac:dyDescent="0.25">
      <c r="CM2163" s="582"/>
      <c r="CN2163" s="584" t="s">
        <v>6693</v>
      </c>
      <c r="CO2163" s="584" t="s">
        <v>1918</v>
      </c>
      <c r="CP2163" s="584" t="s">
        <v>1888</v>
      </c>
      <c r="CQ2163" s="584" t="s">
        <v>6694</v>
      </c>
      <c r="CR2163" s="584" t="s">
        <v>6694</v>
      </c>
      <c r="CS2163" s="584" t="s">
        <v>2583</v>
      </c>
      <c r="CT2163" s="584" t="s">
        <v>2584</v>
      </c>
      <c r="CU2163" s="584" t="s">
        <v>2585</v>
      </c>
      <c r="CV2163" s="585" t="s">
        <v>6675</v>
      </c>
    </row>
    <row r="2164" spans="91:100" ht="25.5" x14ac:dyDescent="0.25">
      <c r="CM2164" s="582"/>
      <c r="CN2164" s="584" t="s">
        <v>6695</v>
      </c>
      <c r="CO2164" s="584" t="s">
        <v>1918</v>
      </c>
      <c r="CP2164" s="584" t="s">
        <v>1888</v>
      </c>
      <c r="CQ2164" s="584" t="s">
        <v>6696</v>
      </c>
      <c r="CR2164" s="584" t="s">
        <v>6696</v>
      </c>
      <c r="CS2164" s="584" t="s">
        <v>2583</v>
      </c>
      <c r="CT2164" s="584" t="s">
        <v>2584</v>
      </c>
      <c r="CU2164" s="584" t="s">
        <v>2585</v>
      </c>
      <c r="CV2164" s="585" t="s">
        <v>6675</v>
      </c>
    </row>
    <row r="2165" spans="91:100" ht="25.5" x14ac:dyDescent="0.25">
      <c r="CM2165" s="582"/>
      <c r="CN2165" s="584" t="s">
        <v>6697</v>
      </c>
      <c r="CO2165" s="584" t="s">
        <v>1918</v>
      </c>
      <c r="CP2165" s="584" t="s">
        <v>1888</v>
      </c>
      <c r="CQ2165" s="584" t="s">
        <v>6698</v>
      </c>
      <c r="CR2165" s="584" t="s">
        <v>6698</v>
      </c>
      <c r="CS2165" s="584" t="s">
        <v>2583</v>
      </c>
      <c r="CT2165" s="584" t="s">
        <v>2584</v>
      </c>
      <c r="CU2165" s="584" t="s">
        <v>2585</v>
      </c>
      <c r="CV2165" s="585" t="s">
        <v>6675</v>
      </c>
    </row>
    <row r="2166" spans="91:100" ht="25.5" x14ac:dyDescent="0.25">
      <c r="CM2166" s="582"/>
      <c r="CN2166" s="584" t="s">
        <v>6699</v>
      </c>
      <c r="CO2166" s="584" t="s">
        <v>1918</v>
      </c>
      <c r="CP2166" s="584" t="s">
        <v>1888</v>
      </c>
      <c r="CQ2166" s="584" t="s">
        <v>6700</v>
      </c>
      <c r="CR2166" s="584" t="s">
        <v>6700</v>
      </c>
      <c r="CS2166" s="584" t="s">
        <v>2583</v>
      </c>
      <c r="CT2166" s="584" t="s">
        <v>2584</v>
      </c>
      <c r="CU2166" s="584" t="s">
        <v>2585</v>
      </c>
      <c r="CV2166" s="585" t="s">
        <v>6675</v>
      </c>
    </row>
    <row r="2167" spans="91:100" x14ac:dyDescent="0.25">
      <c r="CM2167" s="582"/>
      <c r="CN2167" s="584" t="s">
        <v>6701</v>
      </c>
      <c r="CO2167" s="584" t="s">
        <v>1918</v>
      </c>
      <c r="CP2167" s="584" t="s">
        <v>1888</v>
      </c>
      <c r="CQ2167" s="584" t="s">
        <v>6702</v>
      </c>
      <c r="CR2167" s="584" t="s">
        <v>6702</v>
      </c>
      <c r="CS2167" s="584" t="s">
        <v>1890</v>
      </c>
      <c r="CT2167" s="584" t="s">
        <v>6703</v>
      </c>
      <c r="CU2167" s="584" t="s">
        <v>1892</v>
      </c>
      <c r="CV2167" s="585" t="s">
        <v>1893</v>
      </c>
    </row>
    <row r="2168" spans="91:100" ht="25.5" x14ac:dyDescent="0.25">
      <c r="CM2168" s="582"/>
      <c r="CN2168" s="584" t="s">
        <v>6704</v>
      </c>
      <c r="CO2168" s="584" t="s">
        <v>1918</v>
      </c>
      <c r="CP2168" s="584" t="s">
        <v>1888</v>
      </c>
      <c r="CQ2168" s="584" t="s">
        <v>6705</v>
      </c>
      <c r="CR2168" s="584" t="s">
        <v>6705</v>
      </c>
      <c r="CS2168" s="584" t="s">
        <v>2583</v>
      </c>
      <c r="CT2168" s="584" t="s">
        <v>2584</v>
      </c>
      <c r="CU2168" s="584" t="s">
        <v>2585</v>
      </c>
      <c r="CV2168" s="585" t="s">
        <v>6675</v>
      </c>
    </row>
    <row r="2169" spans="91:100" ht="25.5" x14ac:dyDescent="0.25">
      <c r="CM2169" s="582"/>
      <c r="CN2169" s="584" t="s">
        <v>6706</v>
      </c>
      <c r="CO2169" s="584" t="s">
        <v>1918</v>
      </c>
      <c r="CP2169" s="584" t="s">
        <v>1888</v>
      </c>
      <c r="CQ2169" s="584" t="s">
        <v>6707</v>
      </c>
      <c r="CR2169" s="584" t="s">
        <v>6707</v>
      </c>
      <c r="CS2169" s="584" t="s">
        <v>2583</v>
      </c>
      <c r="CT2169" s="584" t="s">
        <v>2584</v>
      </c>
      <c r="CU2169" s="584" t="s">
        <v>2585</v>
      </c>
      <c r="CV2169" s="585" t="s">
        <v>6675</v>
      </c>
    </row>
    <row r="2170" spans="91:100" x14ac:dyDescent="0.25">
      <c r="CM2170" s="582"/>
      <c r="CN2170" s="584" t="s">
        <v>6708</v>
      </c>
      <c r="CO2170" s="584" t="s">
        <v>1918</v>
      </c>
      <c r="CP2170" s="584" t="s">
        <v>1888</v>
      </c>
      <c r="CQ2170" s="584" t="s">
        <v>6709</v>
      </c>
      <c r="CR2170" s="584" t="s">
        <v>6709</v>
      </c>
      <c r="CS2170" s="584" t="s">
        <v>1890</v>
      </c>
      <c r="CT2170" s="584" t="s">
        <v>6703</v>
      </c>
      <c r="CU2170" s="584" t="s">
        <v>1892</v>
      </c>
      <c r="CV2170" s="585" t="s">
        <v>1893</v>
      </c>
    </row>
    <row r="2171" spans="91:100" ht="25.5" x14ac:dyDescent="0.25">
      <c r="CM2171" s="582"/>
      <c r="CN2171" s="584" t="s">
        <v>6710</v>
      </c>
      <c r="CO2171" s="584" t="s">
        <v>1918</v>
      </c>
      <c r="CP2171" s="584" t="s">
        <v>1888</v>
      </c>
      <c r="CQ2171" s="584" t="s">
        <v>6711</v>
      </c>
      <c r="CR2171" s="584" t="s">
        <v>6711</v>
      </c>
      <c r="CS2171" s="584" t="s">
        <v>2583</v>
      </c>
      <c r="CT2171" s="584" t="s">
        <v>2584</v>
      </c>
      <c r="CU2171" s="584" t="s">
        <v>2585</v>
      </c>
      <c r="CV2171" s="585" t="s">
        <v>6675</v>
      </c>
    </row>
    <row r="2172" spans="91:100" ht="25.5" x14ac:dyDescent="0.25">
      <c r="CM2172" s="582"/>
      <c r="CN2172" s="584" t="s">
        <v>6712</v>
      </c>
      <c r="CO2172" s="584" t="s">
        <v>1918</v>
      </c>
      <c r="CP2172" s="584" t="s">
        <v>1888</v>
      </c>
      <c r="CQ2172" s="584" t="s">
        <v>6713</v>
      </c>
      <c r="CR2172" s="584" t="s">
        <v>6713</v>
      </c>
      <c r="CS2172" s="584" t="s">
        <v>2583</v>
      </c>
      <c r="CT2172" s="584" t="s">
        <v>2584</v>
      </c>
      <c r="CU2172" s="584" t="s">
        <v>2585</v>
      </c>
      <c r="CV2172" s="585" t="s">
        <v>6675</v>
      </c>
    </row>
    <row r="2173" spans="91:100" x14ac:dyDescent="0.25">
      <c r="CM2173" s="582"/>
      <c r="CN2173" s="584" t="s">
        <v>6714</v>
      </c>
      <c r="CO2173" s="584" t="s">
        <v>1918</v>
      </c>
      <c r="CP2173" s="584" t="s">
        <v>1888</v>
      </c>
      <c r="CQ2173" s="584" t="s">
        <v>6715</v>
      </c>
      <c r="CR2173" s="584" t="s">
        <v>6715</v>
      </c>
      <c r="CS2173" s="584" t="s">
        <v>1890</v>
      </c>
      <c r="CT2173" s="584" t="s">
        <v>6703</v>
      </c>
      <c r="CU2173" s="584" t="s">
        <v>1892</v>
      </c>
      <c r="CV2173" s="585" t="s">
        <v>1893</v>
      </c>
    </row>
    <row r="2174" spans="91:100" ht="25.5" x14ac:dyDescent="0.25">
      <c r="CM2174" s="582"/>
      <c r="CN2174" s="584" t="s">
        <v>6716</v>
      </c>
      <c r="CO2174" s="584" t="s">
        <v>1918</v>
      </c>
      <c r="CP2174" s="584" t="s">
        <v>1888</v>
      </c>
      <c r="CQ2174" s="584" t="s">
        <v>6717</v>
      </c>
      <c r="CR2174" s="584" t="s">
        <v>6717</v>
      </c>
      <c r="CS2174" s="584" t="s">
        <v>2583</v>
      </c>
      <c r="CT2174" s="584" t="s">
        <v>2584</v>
      </c>
      <c r="CU2174" s="584" t="s">
        <v>2585</v>
      </c>
      <c r="CV2174" s="585" t="s">
        <v>6675</v>
      </c>
    </row>
    <row r="2175" spans="91:100" ht="25.5" x14ac:dyDescent="0.25">
      <c r="CM2175" s="582"/>
      <c r="CN2175" s="584" t="s">
        <v>6718</v>
      </c>
      <c r="CO2175" s="584" t="s">
        <v>1918</v>
      </c>
      <c r="CP2175" s="584" t="s">
        <v>1888</v>
      </c>
      <c r="CQ2175" s="584" t="s">
        <v>6719</v>
      </c>
      <c r="CR2175" s="584" t="s">
        <v>6719</v>
      </c>
      <c r="CS2175" s="584" t="s">
        <v>2583</v>
      </c>
      <c r="CT2175" s="584" t="s">
        <v>2584</v>
      </c>
      <c r="CU2175" s="584" t="s">
        <v>2585</v>
      </c>
      <c r="CV2175" s="585" t="s">
        <v>6675</v>
      </c>
    </row>
    <row r="2176" spans="91:100" x14ac:dyDescent="0.25">
      <c r="CM2176" s="582"/>
      <c r="CN2176" s="584" t="s">
        <v>6720</v>
      </c>
      <c r="CO2176" s="584" t="s">
        <v>1918</v>
      </c>
      <c r="CP2176" s="584" t="s">
        <v>1888</v>
      </c>
      <c r="CQ2176" s="584" t="s">
        <v>6721</v>
      </c>
      <c r="CR2176" s="584" t="s">
        <v>6721</v>
      </c>
      <c r="CS2176" s="584" t="s">
        <v>1890</v>
      </c>
      <c r="CT2176" s="584" t="s">
        <v>6703</v>
      </c>
      <c r="CU2176" s="584" t="s">
        <v>1892</v>
      </c>
      <c r="CV2176" s="585" t="s">
        <v>1893</v>
      </c>
    </row>
    <row r="2177" spans="91:100" ht="25.5" x14ac:dyDescent="0.25">
      <c r="CM2177" s="582"/>
      <c r="CN2177" s="584" t="s">
        <v>6722</v>
      </c>
      <c r="CO2177" s="584" t="s">
        <v>1918</v>
      </c>
      <c r="CP2177" s="584" t="s">
        <v>1888</v>
      </c>
      <c r="CQ2177" s="584" t="s">
        <v>6723</v>
      </c>
      <c r="CR2177" s="584" t="s">
        <v>6723</v>
      </c>
      <c r="CS2177" s="584" t="s">
        <v>2583</v>
      </c>
      <c r="CT2177" s="584" t="s">
        <v>2584</v>
      </c>
      <c r="CU2177" s="584" t="s">
        <v>2585</v>
      </c>
      <c r="CV2177" s="585" t="s">
        <v>6675</v>
      </c>
    </row>
    <row r="2178" spans="91:100" ht="25.5" x14ac:dyDescent="0.25">
      <c r="CM2178" s="582"/>
      <c r="CN2178" s="584" t="s">
        <v>6724</v>
      </c>
      <c r="CO2178" s="584" t="s">
        <v>1918</v>
      </c>
      <c r="CP2178" s="584" t="s">
        <v>1888</v>
      </c>
      <c r="CQ2178" s="584" t="s">
        <v>6725</v>
      </c>
      <c r="CR2178" s="584" t="s">
        <v>6725</v>
      </c>
      <c r="CS2178" s="584" t="s">
        <v>2583</v>
      </c>
      <c r="CT2178" s="584" t="s">
        <v>2584</v>
      </c>
      <c r="CU2178" s="584" t="s">
        <v>2585</v>
      </c>
      <c r="CV2178" s="585" t="s">
        <v>6675</v>
      </c>
    </row>
    <row r="2179" spans="91:100" ht="25.5" x14ac:dyDescent="0.25">
      <c r="CM2179" s="582"/>
      <c r="CN2179" s="584" t="s">
        <v>6726</v>
      </c>
      <c r="CO2179" s="584" t="s">
        <v>1918</v>
      </c>
      <c r="CP2179" s="584" t="s">
        <v>1888</v>
      </c>
      <c r="CQ2179" s="584" t="s">
        <v>6727</v>
      </c>
      <c r="CR2179" s="584" t="s">
        <v>6727</v>
      </c>
      <c r="CS2179" s="584" t="s">
        <v>2583</v>
      </c>
      <c r="CT2179" s="584" t="s">
        <v>2584</v>
      </c>
      <c r="CU2179" s="584" t="s">
        <v>2585</v>
      </c>
      <c r="CV2179" s="585" t="s">
        <v>6675</v>
      </c>
    </row>
    <row r="2180" spans="91:100" ht="25.5" x14ac:dyDescent="0.25">
      <c r="CM2180" s="582"/>
      <c r="CN2180" s="584" t="s">
        <v>6728</v>
      </c>
      <c r="CO2180" s="584" t="s">
        <v>1918</v>
      </c>
      <c r="CP2180" s="584" t="s">
        <v>1888</v>
      </c>
      <c r="CQ2180" s="584" t="s">
        <v>6729</v>
      </c>
      <c r="CR2180" s="584" t="s">
        <v>6729</v>
      </c>
      <c r="CS2180" s="584" t="s">
        <v>2583</v>
      </c>
      <c r="CT2180" s="584" t="s">
        <v>2584</v>
      </c>
      <c r="CU2180" s="584" t="s">
        <v>2585</v>
      </c>
      <c r="CV2180" s="585" t="s">
        <v>6675</v>
      </c>
    </row>
    <row r="2181" spans="91:100" ht="25.5" x14ac:dyDescent="0.25">
      <c r="CM2181" s="582"/>
      <c r="CN2181" s="584" t="s">
        <v>6730</v>
      </c>
      <c r="CO2181" s="584" t="s">
        <v>1918</v>
      </c>
      <c r="CP2181" s="584" t="s">
        <v>1888</v>
      </c>
      <c r="CQ2181" s="584" t="s">
        <v>6731</v>
      </c>
      <c r="CR2181" s="584" t="s">
        <v>6731</v>
      </c>
      <c r="CS2181" s="584" t="s">
        <v>2583</v>
      </c>
      <c r="CT2181" s="584" t="s">
        <v>2584</v>
      </c>
      <c r="CU2181" s="584" t="s">
        <v>2585</v>
      </c>
      <c r="CV2181" s="585" t="s">
        <v>6675</v>
      </c>
    </row>
    <row r="2182" spans="91:100" ht="25.5" x14ac:dyDescent="0.25">
      <c r="CM2182" s="582"/>
      <c r="CN2182" s="584" t="s">
        <v>6732</v>
      </c>
      <c r="CO2182" s="584" t="s">
        <v>1918</v>
      </c>
      <c r="CP2182" s="584" t="s">
        <v>1888</v>
      </c>
      <c r="CQ2182" s="584" t="s">
        <v>6733</v>
      </c>
      <c r="CR2182" s="584" t="s">
        <v>6733</v>
      </c>
      <c r="CS2182" s="584" t="s">
        <v>2583</v>
      </c>
      <c r="CT2182" s="584" t="s">
        <v>2584</v>
      </c>
      <c r="CU2182" s="584" t="s">
        <v>2585</v>
      </c>
      <c r="CV2182" s="585" t="s">
        <v>6675</v>
      </c>
    </row>
    <row r="2183" spans="91:100" ht="25.5" x14ac:dyDescent="0.25">
      <c r="CM2183" s="582"/>
      <c r="CN2183" s="584" t="s">
        <v>6734</v>
      </c>
      <c r="CO2183" s="584" t="s">
        <v>1918</v>
      </c>
      <c r="CP2183" s="584" t="s">
        <v>1888</v>
      </c>
      <c r="CQ2183" s="584" t="s">
        <v>6735</v>
      </c>
      <c r="CR2183" s="584" t="s">
        <v>6735</v>
      </c>
      <c r="CS2183" s="584" t="s">
        <v>2583</v>
      </c>
      <c r="CT2183" s="584" t="s">
        <v>2584</v>
      </c>
      <c r="CU2183" s="584" t="s">
        <v>2585</v>
      </c>
      <c r="CV2183" s="585" t="s">
        <v>6675</v>
      </c>
    </row>
    <row r="2184" spans="91:100" ht="25.5" x14ac:dyDescent="0.25">
      <c r="CM2184" s="582"/>
      <c r="CN2184" s="584" t="s">
        <v>6736</v>
      </c>
      <c r="CO2184" s="584" t="s">
        <v>1918</v>
      </c>
      <c r="CP2184" s="584" t="s">
        <v>1888</v>
      </c>
      <c r="CQ2184" s="584" t="s">
        <v>6737</v>
      </c>
      <c r="CR2184" s="584" t="s">
        <v>6737</v>
      </c>
      <c r="CS2184" s="584" t="s">
        <v>2583</v>
      </c>
      <c r="CT2184" s="584" t="s">
        <v>2584</v>
      </c>
      <c r="CU2184" s="584" t="s">
        <v>2585</v>
      </c>
      <c r="CV2184" s="585" t="s">
        <v>6675</v>
      </c>
    </row>
    <row r="2185" spans="91:100" ht="25.5" x14ac:dyDescent="0.25">
      <c r="CM2185" s="582"/>
      <c r="CN2185" s="584" t="s">
        <v>6738</v>
      </c>
      <c r="CO2185" s="584" t="s">
        <v>1918</v>
      </c>
      <c r="CP2185" s="584" t="s">
        <v>1888</v>
      </c>
      <c r="CQ2185" s="584" t="s">
        <v>6739</v>
      </c>
      <c r="CR2185" s="584" t="s">
        <v>6739</v>
      </c>
      <c r="CS2185" s="584" t="s">
        <v>2583</v>
      </c>
      <c r="CT2185" s="584" t="s">
        <v>2584</v>
      </c>
      <c r="CU2185" s="584" t="s">
        <v>2585</v>
      </c>
      <c r="CV2185" s="585" t="s">
        <v>6675</v>
      </c>
    </row>
    <row r="2186" spans="91:100" ht="25.5" x14ac:dyDescent="0.25">
      <c r="CM2186" s="582"/>
      <c r="CN2186" s="584" t="s">
        <v>6740</v>
      </c>
      <c r="CO2186" s="584" t="s">
        <v>1918</v>
      </c>
      <c r="CP2186" s="584" t="s">
        <v>1888</v>
      </c>
      <c r="CQ2186" s="584" t="s">
        <v>6741</v>
      </c>
      <c r="CR2186" s="584" t="s">
        <v>6741</v>
      </c>
      <c r="CS2186" s="584" t="s">
        <v>2583</v>
      </c>
      <c r="CT2186" s="584" t="s">
        <v>2584</v>
      </c>
      <c r="CU2186" s="584" t="s">
        <v>2585</v>
      </c>
      <c r="CV2186" s="585" t="s">
        <v>6675</v>
      </c>
    </row>
    <row r="2187" spans="91:100" ht="25.5" x14ac:dyDescent="0.25">
      <c r="CM2187" s="582"/>
      <c r="CN2187" s="584" t="s">
        <v>6742</v>
      </c>
      <c r="CO2187" s="584" t="s">
        <v>1918</v>
      </c>
      <c r="CP2187" s="584" t="s">
        <v>1888</v>
      </c>
      <c r="CQ2187" s="584" t="s">
        <v>6743</v>
      </c>
      <c r="CR2187" s="584" t="s">
        <v>6743</v>
      </c>
      <c r="CS2187" s="584" t="s">
        <v>2583</v>
      </c>
      <c r="CT2187" s="584" t="s">
        <v>2584</v>
      </c>
      <c r="CU2187" s="584" t="s">
        <v>2585</v>
      </c>
      <c r="CV2187" s="585" t="s">
        <v>6675</v>
      </c>
    </row>
    <row r="2188" spans="91:100" ht="25.5" x14ac:dyDescent="0.25">
      <c r="CM2188" s="582"/>
      <c r="CN2188" s="584" t="s">
        <v>6744</v>
      </c>
      <c r="CO2188" s="584" t="s">
        <v>1918</v>
      </c>
      <c r="CP2188" s="584" t="s">
        <v>1888</v>
      </c>
      <c r="CQ2188" s="584" t="s">
        <v>6745</v>
      </c>
      <c r="CR2188" s="584" t="s">
        <v>6745</v>
      </c>
      <c r="CS2188" s="584" t="s">
        <v>2583</v>
      </c>
      <c r="CT2188" s="584" t="s">
        <v>2584</v>
      </c>
      <c r="CU2188" s="584" t="s">
        <v>2585</v>
      </c>
      <c r="CV2188" s="585" t="s">
        <v>6675</v>
      </c>
    </row>
    <row r="2189" spans="91:100" x14ac:dyDescent="0.25">
      <c r="CM2189" s="582"/>
      <c r="CN2189" s="584" t="s">
        <v>6746</v>
      </c>
      <c r="CO2189" s="584" t="s">
        <v>1918</v>
      </c>
      <c r="CP2189" s="584" t="s">
        <v>1888</v>
      </c>
      <c r="CQ2189" s="584" t="s">
        <v>6747</v>
      </c>
      <c r="CR2189" s="584" t="s">
        <v>6747</v>
      </c>
      <c r="CS2189" s="584" t="s">
        <v>1890</v>
      </c>
      <c r="CT2189" s="584" t="s">
        <v>6703</v>
      </c>
      <c r="CU2189" s="584" t="s">
        <v>1892</v>
      </c>
      <c r="CV2189" s="585" t="s">
        <v>1893</v>
      </c>
    </row>
    <row r="2190" spans="91:100" ht="25.5" x14ac:dyDescent="0.25">
      <c r="CM2190" s="582"/>
      <c r="CN2190" s="584" t="s">
        <v>6748</v>
      </c>
      <c r="CO2190" s="584" t="s">
        <v>1918</v>
      </c>
      <c r="CP2190" s="584" t="s">
        <v>1888</v>
      </c>
      <c r="CQ2190" s="584" t="s">
        <v>6749</v>
      </c>
      <c r="CR2190" s="584" t="s">
        <v>6749</v>
      </c>
      <c r="CS2190" s="584" t="s">
        <v>2583</v>
      </c>
      <c r="CT2190" s="584" t="s">
        <v>2584</v>
      </c>
      <c r="CU2190" s="584" t="s">
        <v>2585</v>
      </c>
      <c r="CV2190" s="585" t="s">
        <v>6675</v>
      </c>
    </row>
    <row r="2191" spans="91:100" ht="25.5" x14ac:dyDescent="0.25">
      <c r="CM2191" s="582"/>
      <c r="CN2191" s="584" t="s">
        <v>6750</v>
      </c>
      <c r="CO2191" s="584" t="s">
        <v>1918</v>
      </c>
      <c r="CP2191" s="584" t="s">
        <v>1888</v>
      </c>
      <c r="CQ2191" s="584" t="s">
        <v>6751</v>
      </c>
      <c r="CR2191" s="584" t="s">
        <v>6751</v>
      </c>
      <c r="CS2191" s="584" t="s">
        <v>2583</v>
      </c>
      <c r="CT2191" s="584" t="s">
        <v>2584</v>
      </c>
      <c r="CU2191" s="584" t="s">
        <v>2585</v>
      </c>
      <c r="CV2191" s="585" t="s">
        <v>6675</v>
      </c>
    </row>
    <row r="2192" spans="91:100" ht="25.5" x14ac:dyDescent="0.25">
      <c r="CM2192" s="582"/>
      <c r="CN2192" s="584" t="s">
        <v>6752</v>
      </c>
      <c r="CO2192" s="584" t="s">
        <v>1918</v>
      </c>
      <c r="CP2192" s="584" t="s">
        <v>1888</v>
      </c>
      <c r="CQ2192" s="584" t="s">
        <v>6753</v>
      </c>
      <c r="CR2192" s="584" t="s">
        <v>6753</v>
      </c>
      <c r="CS2192" s="584" t="s">
        <v>2583</v>
      </c>
      <c r="CT2192" s="584" t="s">
        <v>2584</v>
      </c>
      <c r="CU2192" s="584" t="s">
        <v>2585</v>
      </c>
      <c r="CV2192" s="585" t="s">
        <v>6675</v>
      </c>
    </row>
    <row r="2193" spans="91:100" ht="25.5" x14ac:dyDescent="0.25">
      <c r="CM2193" s="582"/>
      <c r="CN2193" s="584" t="s">
        <v>6754</v>
      </c>
      <c r="CO2193" s="584" t="s">
        <v>1918</v>
      </c>
      <c r="CP2193" s="584" t="s">
        <v>1888</v>
      </c>
      <c r="CQ2193" s="584" t="s">
        <v>6755</v>
      </c>
      <c r="CR2193" s="584" t="s">
        <v>6755</v>
      </c>
      <c r="CS2193" s="584" t="s">
        <v>2583</v>
      </c>
      <c r="CT2193" s="584" t="s">
        <v>2584</v>
      </c>
      <c r="CU2193" s="584" t="s">
        <v>2585</v>
      </c>
      <c r="CV2193" s="585" t="s">
        <v>6675</v>
      </c>
    </row>
    <row r="2194" spans="91:100" ht="25.5" x14ac:dyDescent="0.25">
      <c r="CM2194" s="582"/>
      <c r="CN2194" s="584" t="s">
        <v>6756</v>
      </c>
      <c r="CO2194" s="584" t="s">
        <v>1918</v>
      </c>
      <c r="CP2194" s="584" t="s">
        <v>1888</v>
      </c>
      <c r="CQ2194" s="584" t="s">
        <v>6757</v>
      </c>
      <c r="CR2194" s="584" t="s">
        <v>6757</v>
      </c>
      <c r="CS2194" s="584" t="s">
        <v>2583</v>
      </c>
      <c r="CT2194" s="584" t="s">
        <v>2584</v>
      </c>
      <c r="CU2194" s="584" t="s">
        <v>2585</v>
      </c>
      <c r="CV2194" s="585" t="s">
        <v>6675</v>
      </c>
    </row>
    <row r="2195" spans="91:100" ht="25.5" x14ac:dyDescent="0.25">
      <c r="CM2195" s="582"/>
      <c r="CN2195" s="584" t="s">
        <v>6758</v>
      </c>
      <c r="CO2195" s="584" t="s">
        <v>1918</v>
      </c>
      <c r="CP2195" s="584" t="s">
        <v>1888</v>
      </c>
      <c r="CQ2195" s="584" t="s">
        <v>6759</v>
      </c>
      <c r="CR2195" s="584" t="s">
        <v>6759</v>
      </c>
      <c r="CS2195" s="584" t="s">
        <v>2583</v>
      </c>
      <c r="CT2195" s="584" t="s">
        <v>2584</v>
      </c>
      <c r="CU2195" s="584" t="s">
        <v>2585</v>
      </c>
      <c r="CV2195" s="585" t="s">
        <v>6675</v>
      </c>
    </row>
    <row r="2196" spans="91:100" ht="25.5" x14ac:dyDescent="0.25">
      <c r="CM2196" s="582"/>
      <c r="CN2196" s="584" t="s">
        <v>6760</v>
      </c>
      <c r="CO2196" s="584" t="s">
        <v>1918</v>
      </c>
      <c r="CP2196" s="584" t="s">
        <v>1888</v>
      </c>
      <c r="CQ2196" s="584" t="s">
        <v>6761</v>
      </c>
      <c r="CR2196" s="584" t="s">
        <v>6761</v>
      </c>
      <c r="CS2196" s="584" t="s">
        <v>2583</v>
      </c>
      <c r="CT2196" s="584" t="s">
        <v>2584</v>
      </c>
      <c r="CU2196" s="584" t="s">
        <v>2585</v>
      </c>
      <c r="CV2196" s="585" t="s">
        <v>6675</v>
      </c>
    </row>
    <row r="2197" spans="91:100" x14ac:dyDescent="0.25">
      <c r="CM2197" s="582"/>
      <c r="CN2197" s="584" t="s">
        <v>6762</v>
      </c>
      <c r="CO2197" s="584" t="s">
        <v>1918</v>
      </c>
      <c r="CP2197" s="584" t="s">
        <v>1888</v>
      </c>
      <c r="CQ2197" s="584" t="s">
        <v>6763</v>
      </c>
      <c r="CR2197" s="584" t="s">
        <v>6763</v>
      </c>
      <c r="CS2197" s="584" t="s">
        <v>1978</v>
      </c>
      <c r="CT2197" s="584" t="s">
        <v>1979</v>
      </c>
      <c r="CU2197" s="584" t="s">
        <v>1892</v>
      </c>
      <c r="CV2197" s="585" t="s">
        <v>1980</v>
      </c>
    </row>
    <row r="2198" spans="91:100" ht="25.5" x14ac:dyDescent="0.25">
      <c r="CM2198" s="582"/>
      <c r="CN2198" s="584" t="s">
        <v>6764</v>
      </c>
      <c r="CO2198" s="584" t="s">
        <v>1918</v>
      </c>
      <c r="CP2198" s="584" t="s">
        <v>1888</v>
      </c>
      <c r="CQ2198" s="584" t="s">
        <v>6765</v>
      </c>
      <c r="CR2198" s="584" t="s">
        <v>6765</v>
      </c>
      <c r="CS2198" s="584" t="s">
        <v>2583</v>
      </c>
      <c r="CT2198" s="584" t="s">
        <v>2584</v>
      </c>
      <c r="CU2198" s="584" t="s">
        <v>2585</v>
      </c>
      <c r="CV2198" s="585" t="s">
        <v>6675</v>
      </c>
    </row>
    <row r="2199" spans="91:100" ht="25.5" x14ac:dyDescent="0.25">
      <c r="CM2199" s="582"/>
      <c r="CN2199" s="584" t="s">
        <v>6766</v>
      </c>
      <c r="CO2199" s="584" t="s">
        <v>1918</v>
      </c>
      <c r="CP2199" s="584" t="s">
        <v>1888</v>
      </c>
      <c r="CQ2199" s="584" t="s">
        <v>6767</v>
      </c>
      <c r="CR2199" s="584" t="s">
        <v>6767</v>
      </c>
      <c r="CS2199" s="584" t="s">
        <v>2583</v>
      </c>
      <c r="CT2199" s="584" t="s">
        <v>2584</v>
      </c>
      <c r="CU2199" s="584" t="s">
        <v>2585</v>
      </c>
      <c r="CV2199" s="585" t="s">
        <v>6675</v>
      </c>
    </row>
    <row r="2200" spans="91:100" ht="25.5" x14ac:dyDescent="0.25">
      <c r="CM2200" s="582"/>
      <c r="CN2200" s="584" t="s">
        <v>6768</v>
      </c>
      <c r="CO2200" s="584" t="s">
        <v>1918</v>
      </c>
      <c r="CP2200" s="584" t="s">
        <v>1888</v>
      </c>
      <c r="CQ2200" s="584" t="s">
        <v>6769</v>
      </c>
      <c r="CR2200" s="584" t="s">
        <v>6769</v>
      </c>
      <c r="CS2200" s="584" t="s">
        <v>2583</v>
      </c>
      <c r="CT2200" s="584" t="s">
        <v>2584</v>
      </c>
      <c r="CU2200" s="584" t="s">
        <v>2585</v>
      </c>
      <c r="CV2200" s="585" t="s">
        <v>6675</v>
      </c>
    </row>
    <row r="2201" spans="91:100" ht="25.5" x14ac:dyDescent="0.25">
      <c r="CM2201" s="582"/>
      <c r="CN2201" s="584" t="s">
        <v>6770</v>
      </c>
      <c r="CO2201" s="584" t="s">
        <v>1918</v>
      </c>
      <c r="CP2201" s="584" t="s">
        <v>1888</v>
      </c>
      <c r="CQ2201" s="584" t="s">
        <v>6771</v>
      </c>
      <c r="CR2201" s="584" t="s">
        <v>6771</v>
      </c>
      <c r="CS2201" s="584" t="s">
        <v>2583</v>
      </c>
      <c r="CT2201" s="584" t="s">
        <v>2584</v>
      </c>
      <c r="CU2201" s="584" t="s">
        <v>2585</v>
      </c>
      <c r="CV2201" s="585" t="s">
        <v>6675</v>
      </c>
    </row>
    <row r="2202" spans="91:100" ht="25.5" x14ac:dyDescent="0.25">
      <c r="CM2202" s="582"/>
      <c r="CN2202" s="584" t="s">
        <v>6772</v>
      </c>
      <c r="CO2202" s="584" t="s">
        <v>1918</v>
      </c>
      <c r="CP2202" s="584" t="s">
        <v>1888</v>
      </c>
      <c r="CQ2202" s="584" t="s">
        <v>6773</v>
      </c>
      <c r="CR2202" s="584" t="s">
        <v>6773</v>
      </c>
      <c r="CS2202" s="584" t="s">
        <v>2583</v>
      </c>
      <c r="CT2202" s="584" t="s">
        <v>2584</v>
      </c>
      <c r="CU2202" s="584" t="s">
        <v>2585</v>
      </c>
      <c r="CV2202" s="585" t="s">
        <v>6675</v>
      </c>
    </row>
    <row r="2203" spans="91:100" ht="25.5" x14ac:dyDescent="0.25">
      <c r="CM2203" s="582"/>
      <c r="CN2203" s="584" t="s">
        <v>6774</v>
      </c>
      <c r="CO2203" s="584" t="s">
        <v>1918</v>
      </c>
      <c r="CP2203" s="584" t="s">
        <v>1888</v>
      </c>
      <c r="CQ2203" s="584" t="s">
        <v>6775</v>
      </c>
      <c r="CR2203" s="584" t="s">
        <v>6775</v>
      </c>
      <c r="CS2203" s="584" t="s">
        <v>2583</v>
      </c>
      <c r="CT2203" s="584" t="s">
        <v>2584</v>
      </c>
      <c r="CU2203" s="584" t="s">
        <v>2585</v>
      </c>
      <c r="CV2203" s="585" t="s">
        <v>6675</v>
      </c>
    </row>
    <row r="2204" spans="91:100" x14ac:dyDescent="0.25">
      <c r="CM2204" s="582"/>
      <c r="CN2204" s="584" t="s">
        <v>6776</v>
      </c>
      <c r="CO2204" s="584" t="s">
        <v>1918</v>
      </c>
      <c r="CP2204" s="584" t="s">
        <v>1888</v>
      </c>
      <c r="CQ2204" s="584" t="s">
        <v>6777</v>
      </c>
      <c r="CR2204" s="584" t="s">
        <v>6777</v>
      </c>
      <c r="CS2204" s="584" t="s">
        <v>1890</v>
      </c>
      <c r="CT2204" s="584" t="s">
        <v>6703</v>
      </c>
      <c r="CU2204" s="584" t="s">
        <v>1892</v>
      </c>
      <c r="CV2204" s="585" t="s">
        <v>1893</v>
      </c>
    </row>
    <row r="2205" spans="91:100" x14ac:dyDescent="0.25">
      <c r="CM2205" s="582"/>
      <c r="CN2205" s="584" t="s">
        <v>6778</v>
      </c>
      <c r="CO2205" s="584" t="s">
        <v>1918</v>
      </c>
      <c r="CP2205" s="584" t="s">
        <v>1888</v>
      </c>
      <c r="CQ2205" s="584" t="s">
        <v>6779</v>
      </c>
      <c r="CR2205" s="584" t="s">
        <v>6779</v>
      </c>
      <c r="CS2205" s="584" t="s">
        <v>1890</v>
      </c>
      <c r="CT2205" s="584" t="s">
        <v>6703</v>
      </c>
      <c r="CU2205" s="584" t="s">
        <v>1892</v>
      </c>
      <c r="CV2205" s="585" t="s">
        <v>1893</v>
      </c>
    </row>
    <row r="2206" spans="91:100" x14ac:dyDescent="0.25">
      <c r="CM2206" s="582"/>
      <c r="CN2206" s="584" t="s">
        <v>6780</v>
      </c>
      <c r="CO2206" s="584" t="s">
        <v>1918</v>
      </c>
      <c r="CP2206" s="584" t="s">
        <v>1888</v>
      </c>
      <c r="CQ2206" s="584" t="s">
        <v>6781</v>
      </c>
      <c r="CR2206" s="584" t="s">
        <v>6781</v>
      </c>
      <c r="CS2206" s="584" t="s">
        <v>1890</v>
      </c>
      <c r="CT2206" s="584" t="s">
        <v>6703</v>
      </c>
      <c r="CU2206" s="584" t="s">
        <v>1892</v>
      </c>
      <c r="CV2206" s="585" t="s">
        <v>1893</v>
      </c>
    </row>
    <row r="2207" spans="91:100" x14ac:dyDescent="0.25">
      <c r="CM2207" s="582"/>
      <c r="CN2207" s="584" t="s">
        <v>6782</v>
      </c>
      <c r="CO2207" s="584" t="s">
        <v>1918</v>
      </c>
      <c r="CP2207" s="584" t="s">
        <v>1888</v>
      </c>
      <c r="CQ2207" s="584" t="s">
        <v>6783</v>
      </c>
      <c r="CR2207" s="584" t="s">
        <v>6783</v>
      </c>
      <c r="CS2207" s="584" t="s">
        <v>1890</v>
      </c>
      <c r="CT2207" s="584" t="s">
        <v>6703</v>
      </c>
      <c r="CU2207" s="584" t="s">
        <v>1892</v>
      </c>
      <c r="CV2207" s="585" t="s">
        <v>1893</v>
      </c>
    </row>
    <row r="2208" spans="91:100" x14ac:dyDescent="0.25">
      <c r="CM2208" s="582"/>
      <c r="CN2208" s="584" t="s">
        <v>6784</v>
      </c>
      <c r="CO2208" s="584" t="s">
        <v>1918</v>
      </c>
      <c r="CP2208" s="584" t="s">
        <v>1888</v>
      </c>
      <c r="CQ2208" s="584" t="s">
        <v>6785</v>
      </c>
      <c r="CR2208" s="584" t="s">
        <v>6785</v>
      </c>
      <c r="CS2208" s="584" t="s">
        <v>1890</v>
      </c>
      <c r="CT2208" s="584" t="s">
        <v>6703</v>
      </c>
      <c r="CU2208" s="584" t="s">
        <v>1892</v>
      </c>
      <c r="CV2208" s="585" t="s">
        <v>1893</v>
      </c>
    </row>
    <row r="2209" spans="91:100" ht="25.5" x14ac:dyDescent="0.25">
      <c r="CM2209" s="582"/>
      <c r="CN2209" s="584" t="s">
        <v>6786</v>
      </c>
      <c r="CO2209" s="584" t="s">
        <v>1918</v>
      </c>
      <c r="CP2209" s="584" t="s">
        <v>1888</v>
      </c>
      <c r="CQ2209" s="584" t="s">
        <v>6787</v>
      </c>
      <c r="CR2209" s="584" t="s">
        <v>6787</v>
      </c>
      <c r="CS2209" s="584" t="s">
        <v>2583</v>
      </c>
      <c r="CT2209" s="584" t="s">
        <v>2584</v>
      </c>
      <c r="CU2209" s="584" t="s">
        <v>2585</v>
      </c>
      <c r="CV2209" s="585" t="s">
        <v>6675</v>
      </c>
    </row>
    <row r="2210" spans="91:100" ht="25.5" x14ac:dyDescent="0.25">
      <c r="CM2210" s="582"/>
      <c r="CN2210" s="584" t="s">
        <v>6788</v>
      </c>
      <c r="CO2210" s="584" t="s">
        <v>1918</v>
      </c>
      <c r="CP2210" s="584" t="s">
        <v>1888</v>
      </c>
      <c r="CQ2210" s="584" t="s">
        <v>6789</v>
      </c>
      <c r="CR2210" s="584" t="s">
        <v>6789</v>
      </c>
      <c r="CS2210" s="584" t="s">
        <v>2583</v>
      </c>
      <c r="CT2210" s="584" t="s">
        <v>2584</v>
      </c>
      <c r="CU2210" s="584" t="s">
        <v>2585</v>
      </c>
      <c r="CV2210" s="585" t="s">
        <v>6675</v>
      </c>
    </row>
    <row r="2211" spans="91:100" x14ac:dyDescent="0.25">
      <c r="CM2211" s="582"/>
      <c r="CN2211" s="584" t="s">
        <v>6790</v>
      </c>
      <c r="CO2211" s="584" t="s">
        <v>1918</v>
      </c>
      <c r="CP2211" s="584" t="s">
        <v>1888</v>
      </c>
      <c r="CQ2211" s="584" t="s">
        <v>6791</v>
      </c>
      <c r="CR2211" s="584" t="s">
        <v>6791</v>
      </c>
      <c r="CS2211" s="584" t="s">
        <v>1890</v>
      </c>
      <c r="CT2211" s="584" t="s">
        <v>6703</v>
      </c>
      <c r="CU2211" s="584" t="s">
        <v>1892</v>
      </c>
      <c r="CV2211" s="585" t="s">
        <v>1893</v>
      </c>
    </row>
    <row r="2212" spans="91:100" ht="25.5" x14ac:dyDescent="0.25">
      <c r="CM2212" s="582"/>
      <c r="CN2212" s="584" t="s">
        <v>6792</v>
      </c>
      <c r="CO2212" s="584" t="s">
        <v>1918</v>
      </c>
      <c r="CP2212" s="584" t="s">
        <v>1888</v>
      </c>
      <c r="CQ2212" s="584" t="s">
        <v>6793</v>
      </c>
      <c r="CR2212" s="584" t="s">
        <v>6793</v>
      </c>
      <c r="CS2212" s="584" t="s">
        <v>2583</v>
      </c>
      <c r="CT2212" s="584" t="s">
        <v>2584</v>
      </c>
      <c r="CU2212" s="584" t="s">
        <v>2585</v>
      </c>
      <c r="CV2212" s="585" t="s">
        <v>6675</v>
      </c>
    </row>
    <row r="2213" spans="91:100" x14ac:dyDescent="0.25">
      <c r="CM2213" s="582"/>
      <c r="CN2213" s="584" t="s">
        <v>6794</v>
      </c>
      <c r="CO2213" s="584" t="s">
        <v>1918</v>
      </c>
      <c r="CP2213" s="584" t="s">
        <v>1888</v>
      </c>
      <c r="CQ2213" s="584" t="s">
        <v>6795</v>
      </c>
      <c r="CR2213" s="584" t="s">
        <v>6795</v>
      </c>
      <c r="CS2213" s="584" t="s">
        <v>1978</v>
      </c>
      <c r="CT2213" s="584" t="s">
        <v>1979</v>
      </c>
      <c r="CU2213" s="584" t="s">
        <v>1892</v>
      </c>
      <c r="CV2213" s="585" t="s">
        <v>1980</v>
      </c>
    </row>
    <row r="2214" spans="91:100" ht="25.5" x14ac:dyDescent="0.25">
      <c r="CM2214" s="582"/>
      <c r="CN2214" s="584" t="s">
        <v>6796</v>
      </c>
      <c r="CO2214" s="584" t="s">
        <v>1918</v>
      </c>
      <c r="CP2214" s="584" t="s">
        <v>1888</v>
      </c>
      <c r="CQ2214" s="584" t="s">
        <v>6797</v>
      </c>
      <c r="CR2214" s="584" t="s">
        <v>6797</v>
      </c>
      <c r="CS2214" s="584" t="s">
        <v>2583</v>
      </c>
      <c r="CT2214" s="584" t="s">
        <v>2584</v>
      </c>
      <c r="CU2214" s="584" t="s">
        <v>2585</v>
      </c>
      <c r="CV2214" s="585" t="s">
        <v>6675</v>
      </c>
    </row>
    <row r="2215" spans="91:100" ht="25.5" x14ac:dyDescent="0.25">
      <c r="CM2215" s="582"/>
      <c r="CN2215" s="584" t="s">
        <v>6798</v>
      </c>
      <c r="CO2215" s="584" t="s">
        <v>1918</v>
      </c>
      <c r="CP2215" s="584" t="s">
        <v>1888</v>
      </c>
      <c r="CQ2215" s="584" t="s">
        <v>6799</v>
      </c>
      <c r="CR2215" s="584" t="s">
        <v>6799</v>
      </c>
      <c r="CS2215" s="584" t="s">
        <v>2583</v>
      </c>
      <c r="CT2215" s="584" t="s">
        <v>2584</v>
      </c>
      <c r="CU2215" s="584" t="s">
        <v>2585</v>
      </c>
      <c r="CV2215" s="585" t="s">
        <v>6675</v>
      </c>
    </row>
    <row r="2216" spans="91:100" ht="25.5" x14ac:dyDescent="0.25">
      <c r="CM2216" s="582"/>
      <c r="CN2216" s="584" t="s">
        <v>6800</v>
      </c>
      <c r="CO2216" s="584" t="s">
        <v>1918</v>
      </c>
      <c r="CP2216" s="584" t="s">
        <v>1888</v>
      </c>
      <c r="CQ2216" s="584" t="s">
        <v>6801</v>
      </c>
      <c r="CR2216" s="584" t="s">
        <v>6801</v>
      </c>
      <c r="CS2216" s="584" t="s">
        <v>2583</v>
      </c>
      <c r="CT2216" s="584" t="s">
        <v>2584</v>
      </c>
      <c r="CU2216" s="584" t="s">
        <v>2585</v>
      </c>
      <c r="CV2216" s="585" t="s">
        <v>6675</v>
      </c>
    </row>
    <row r="2217" spans="91:100" ht="25.5" x14ac:dyDescent="0.25">
      <c r="CM2217" s="582"/>
      <c r="CN2217" s="584" t="s">
        <v>6802</v>
      </c>
      <c r="CO2217" s="584" t="s">
        <v>1918</v>
      </c>
      <c r="CP2217" s="584" t="s">
        <v>1888</v>
      </c>
      <c r="CQ2217" s="584" t="s">
        <v>6803</v>
      </c>
      <c r="CR2217" s="584" t="s">
        <v>6803</v>
      </c>
      <c r="CS2217" s="584" t="s">
        <v>2583</v>
      </c>
      <c r="CT2217" s="584" t="s">
        <v>2584</v>
      </c>
      <c r="CU2217" s="584" t="s">
        <v>2585</v>
      </c>
      <c r="CV2217" s="585" t="s">
        <v>6675</v>
      </c>
    </row>
    <row r="2218" spans="91:100" ht="25.5" x14ac:dyDescent="0.25">
      <c r="CM2218" s="582"/>
      <c r="CN2218" s="584" t="s">
        <v>6804</v>
      </c>
      <c r="CO2218" s="584" t="s">
        <v>1918</v>
      </c>
      <c r="CP2218" s="584" t="s">
        <v>1888</v>
      </c>
      <c r="CQ2218" s="584" t="s">
        <v>6805</v>
      </c>
      <c r="CR2218" s="584" t="s">
        <v>6805</v>
      </c>
      <c r="CS2218" s="584" t="s">
        <v>2583</v>
      </c>
      <c r="CT2218" s="584" t="s">
        <v>2584</v>
      </c>
      <c r="CU2218" s="584" t="s">
        <v>2585</v>
      </c>
      <c r="CV2218" s="585" t="s">
        <v>6675</v>
      </c>
    </row>
    <row r="2219" spans="91:100" ht="25.5" x14ac:dyDescent="0.25">
      <c r="CM2219" s="582"/>
      <c r="CN2219" s="584" t="s">
        <v>6806</v>
      </c>
      <c r="CO2219" s="584" t="s">
        <v>1918</v>
      </c>
      <c r="CP2219" s="584" t="s">
        <v>1888</v>
      </c>
      <c r="CQ2219" s="584" t="s">
        <v>6807</v>
      </c>
      <c r="CR2219" s="584" t="s">
        <v>6807</v>
      </c>
      <c r="CS2219" s="584" t="s">
        <v>2583</v>
      </c>
      <c r="CT2219" s="584" t="s">
        <v>2584</v>
      </c>
      <c r="CU2219" s="584" t="s">
        <v>2585</v>
      </c>
      <c r="CV2219" s="585" t="s">
        <v>6675</v>
      </c>
    </row>
    <row r="2220" spans="91:100" ht="25.5" x14ac:dyDescent="0.25">
      <c r="CM2220" s="582"/>
      <c r="CN2220" s="584" t="s">
        <v>6808</v>
      </c>
      <c r="CO2220" s="584" t="s">
        <v>1918</v>
      </c>
      <c r="CP2220" s="584" t="s">
        <v>1888</v>
      </c>
      <c r="CQ2220" s="584" t="s">
        <v>6809</v>
      </c>
      <c r="CR2220" s="584" t="s">
        <v>6809</v>
      </c>
      <c r="CS2220" s="584" t="s">
        <v>2583</v>
      </c>
      <c r="CT2220" s="584" t="s">
        <v>2584</v>
      </c>
      <c r="CU2220" s="584" t="s">
        <v>2585</v>
      </c>
      <c r="CV2220" s="585" t="s">
        <v>6675</v>
      </c>
    </row>
    <row r="2221" spans="91:100" ht="25.5" x14ac:dyDescent="0.25">
      <c r="CM2221" s="582"/>
      <c r="CN2221" s="584" t="s">
        <v>6810</v>
      </c>
      <c r="CO2221" s="584" t="s">
        <v>1918</v>
      </c>
      <c r="CP2221" s="584" t="s">
        <v>1888</v>
      </c>
      <c r="CQ2221" s="584" t="s">
        <v>6811</v>
      </c>
      <c r="CR2221" s="584" t="s">
        <v>6811</v>
      </c>
      <c r="CS2221" s="584" t="s">
        <v>2583</v>
      </c>
      <c r="CT2221" s="584" t="s">
        <v>2584</v>
      </c>
      <c r="CU2221" s="584" t="s">
        <v>2585</v>
      </c>
      <c r="CV2221" s="585" t="s">
        <v>6675</v>
      </c>
    </row>
    <row r="2222" spans="91:100" ht="25.5" x14ac:dyDescent="0.25">
      <c r="CM2222" s="582"/>
      <c r="CN2222" s="584" t="s">
        <v>6812</v>
      </c>
      <c r="CO2222" s="584" t="s">
        <v>1918</v>
      </c>
      <c r="CP2222" s="584" t="s">
        <v>1888</v>
      </c>
      <c r="CQ2222" s="584" t="s">
        <v>6813</v>
      </c>
      <c r="CR2222" s="584" t="s">
        <v>6813</v>
      </c>
      <c r="CS2222" s="584" t="s">
        <v>2583</v>
      </c>
      <c r="CT2222" s="584" t="s">
        <v>2584</v>
      </c>
      <c r="CU2222" s="584" t="s">
        <v>2585</v>
      </c>
      <c r="CV2222" s="585" t="s">
        <v>6675</v>
      </c>
    </row>
    <row r="2223" spans="91:100" ht="25.5" x14ac:dyDescent="0.25">
      <c r="CM2223" s="582"/>
      <c r="CN2223" s="584" t="s">
        <v>6814</v>
      </c>
      <c r="CO2223" s="584" t="s">
        <v>1918</v>
      </c>
      <c r="CP2223" s="584" t="s">
        <v>1888</v>
      </c>
      <c r="CQ2223" s="584" t="s">
        <v>6815</v>
      </c>
      <c r="CR2223" s="584" t="s">
        <v>6815</v>
      </c>
      <c r="CS2223" s="584" t="s">
        <v>2583</v>
      </c>
      <c r="CT2223" s="584" t="s">
        <v>2584</v>
      </c>
      <c r="CU2223" s="584" t="s">
        <v>2585</v>
      </c>
      <c r="CV2223" s="585" t="s">
        <v>6675</v>
      </c>
    </row>
    <row r="2224" spans="91:100" ht="25.5" x14ac:dyDescent="0.25">
      <c r="CM2224" s="582"/>
      <c r="CN2224" s="584" t="s">
        <v>6816</v>
      </c>
      <c r="CO2224" s="584" t="s">
        <v>1918</v>
      </c>
      <c r="CP2224" s="584" t="s">
        <v>1888</v>
      </c>
      <c r="CQ2224" s="584" t="s">
        <v>6817</v>
      </c>
      <c r="CR2224" s="584" t="s">
        <v>6817</v>
      </c>
      <c r="CS2224" s="584" t="s">
        <v>2583</v>
      </c>
      <c r="CT2224" s="584" t="s">
        <v>2584</v>
      </c>
      <c r="CU2224" s="584" t="s">
        <v>2585</v>
      </c>
      <c r="CV2224" s="585" t="s">
        <v>6675</v>
      </c>
    </row>
    <row r="2225" spans="91:100" ht="25.5" x14ac:dyDescent="0.25">
      <c r="CM2225" s="582"/>
      <c r="CN2225" s="584" t="s">
        <v>6818</v>
      </c>
      <c r="CO2225" s="584" t="s">
        <v>1918</v>
      </c>
      <c r="CP2225" s="584" t="s">
        <v>1888</v>
      </c>
      <c r="CQ2225" s="584" t="s">
        <v>6819</v>
      </c>
      <c r="CR2225" s="584" t="s">
        <v>6819</v>
      </c>
      <c r="CS2225" s="584" t="s">
        <v>2583</v>
      </c>
      <c r="CT2225" s="584" t="s">
        <v>2584</v>
      </c>
      <c r="CU2225" s="584" t="s">
        <v>2585</v>
      </c>
      <c r="CV2225" s="585" t="s">
        <v>6675</v>
      </c>
    </row>
    <row r="2226" spans="91:100" ht="25.5" x14ac:dyDescent="0.25">
      <c r="CM2226" s="582"/>
      <c r="CN2226" s="584" t="s">
        <v>6820</v>
      </c>
      <c r="CO2226" s="584" t="s">
        <v>1918</v>
      </c>
      <c r="CP2226" s="584" t="s">
        <v>1888</v>
      </c>
      <c r="CQ2226" s="584" t="s">
        <v>6821</v>
      </c>
      <c r="CR2226" s="584" t="s">
        <v>6821</v>
      </c>
      <c r="CS2226" s="584" t="s">
        <v>2583</v>
      </c>
      <c r="CT2226" s="584" t="s">
        <v>2584</v>
      </c>
      <c r="CU2226" s="584" t="s">
        <v>2585</v>
      </c>
      <c r="CV2226" s="585" t="s">
        <v>6675</v>
      </c>
    </row>
    <row r="2227" spans="91:100" ht="25.5" x14ac:dyDescent="0.25">
      <c r="CM2227" s="582"/>
      <c r="CN2227" s="584" t="s">
        <v>6822</v>
      </c>
      <c r="CO2227" s="584" t="s">
        <v>1918</v>
      </c>
      <c r="CP2227" s="584" t="s">
        <v>1888</v>
      </c>
      <c r="CQ2227" s="584" t="s">
        <v>6823</v>
      </c>
      <c r="CR2227" s="584" t="s">
        <v>6823</v>
      </c>
      <c r="CS2227" s="584" t="s">
        <v>2583</v>
      </c>
      <c r="CT2227" s="584" t="s">
        <v>2584</v>
      </c>
      <c r="CU2227" s="584" t="s">
        <v>2585</v>
      </c>
      <c r="CV2227" s="585" t="s">
        <v>6675</v>
      </c>
    </row>
    <row r="2228" spans="91:100" ht="25.5" x14ac:dyDescent="0.25">
      <c r="CM2228" s="582"/>
      <c r="CN2228" s="584" t="s">
        <v>6824</v>
      </c>
      <c r="CO2228" s="584" t="s">
        <v>1918</v>
      </c>
      <c r="CP2228" s="584" t="s">
        <v>1888</v>
      </c>
      <c r="CQ2228" s="584" t="s">
        <v>6825</v>
      </c>
      <c r="CR2228" s="584" t="s">
        <v>6825</v>
      </c>
      <c r="CS2228" s="584" t="s">
        <v>2583</v>
      </c>
      <c r="CT2228" s="584" t="s">
        <v>2584</v>
      </c>
      <c r="CU2228" s="584" t="s">
        <v>2585</v>
      </c>
      <c r="CV2228" s="585" t="s">
        <v>6675</v>
      </c>
    </row>
    <row r="2229" spans="91:100" ht="25.5" x14ac:dyDescent="0.25">
      <c r="CM2229" s="582"/>
      <c r="CN2229" s="584" t="s">
        <v>6826</v>
      </c>
      <c r="CO2229" s="584" t="s">
        <v>1918</v>
      </c>
      <c r="CP2229" s="584" t="s">
        <v>1888</v>
      </c>
      <c r="CQ2229" s="584" t="s">
        <v>6827</v>
      </c>
      <c r="CR2229" s="584" t="s">
        <v>6827</v>
      </c>
      <c r="CS2229" s="584" t="s">
        <v>2583</v>
      </c>
      <c r="CT2229" s="584" t="s">
        <v>2584</v>
      </c>
      <c r="CU2229" s="584" t="s">
        <v>2585</v>
      </c>
      <c r="CV2229" s="585" t="s">
        <v>6675</v>
      </c>
    </row>
    <row r="2230" spans="91:100" ht="25.5" x14ac:dyDescent="0.25">
      <c r="CM2230" s="582"/>
      <c r="CN2230" s="584" t="s">
        <v>6828</v>
      </c>
      <c r="CO2230" s="584" t="s">
        <v>1918</v>
      </c>
      <c r="CP2230" s="584" t="s">
        <v>1888</v>
      </c>
      <c r="CQ2230" s="584" t="s">
        <v>6829</v>
      </c>
      <c r="CR2230" s="584" t="s">
        <v>6829</v>
      </c>
      <c r="CS2230" s="584" t="s">
        <v>2583</v>
      </c>
      <c r="CT2230" s="584" t="s">
        <v>2584</v>
      </c>
      <c r="CU2230" s="584" t="s">
        <v>2585</v>
      </c>
      <c r="CV2230" s="585" t="s">
        <v>6675</v>
      </c>
    </row>
    <row r="2231" spans="91:100" ht="25.5" x14ac:dyDescent="0.25">
      <c r="CM2231" s="582"/>
      <c r="CN2231" s="584" t="s">
        <v>6830</v>
      </c>
      <c r="CO2231" s="584" t="s">
        <v>1918</v>
      </c>
      <c r="CP2231" s="584" t="s">
        <v>1888</v>
      </c>
      <c r="CQ2231" s="584" t="s">
        <v>6831</v>
      </c>
      <c r="CR2231" s="584" t="s">
        <v>6831</v>
      </c>
      <c r="CS2231" s="584" t="s">
        <v>2583</v>
      </c>
      <c r="CT2231" s="584" t="s">
        <v>2584</v>
      </c>
      <c r="CU2231" s="584" t="s">
        <v>2585</v>
      </c>
      <c r="CV2231" s="585" t="s">
        <v>6675</v>
      </c>
    </row>
    <row r="2232" spans="91:100" ht="25.5" x14ac:dyDescent="0.25">
      <c r="CM2232" s="582"/>
      <c r="CN2232" s="584" t="s">
        <v>6832</v>
      </c>
      <c r="CO2232" s="584" t="s">
        <v>1918</v>
      </c>
      <c r="CP2232" s="584" t="s">
        <v>1888</v>
      </c>
      <c r="CQ2232" s="584" t="s">
        <v>6833</v>
      </c>
      <c r="CR2232" s="584" t="s">
        <v>6833</v>
      </c>
      <c r="CS2232" s="584" t="s">
        <v>2583</v>
      </c>
      <c r="CT2232" s="584" t="s">
        <v>2584</v>
      </c>
      <c r="CU2232" s="584" t="s">
        <v>2585</v>
      </c>
      <c r="CV2232" s="585" t="s">
        <v>6675</v>
      </c>
    </row>
    <row r="2233" spans="91:100" ht="25.5" x14ac:dyDescent="0.25">
      <c r="CM2233" s="582"/>
      <c r="CN2233" s="584" t="s">
        <v>6834</v>
      </c>
      <c r="CO2233" s="584" t="s">
        <v>1918</v>
      </c>
      <c r="CP2233" s="584" t="s">
        <v>1888</v>
      </c>
      <c r="CQ2233" s="584" t="s">
        <v>6835</v>
      </c>
      <c r="CR2233" s="584" t="s">
        <v>6835</v>
      </c>
      <c r="CS2233" s="584" t="s">
        <v>2583</v>
      </c>
      <c r="CT2233" s="584" t="s">
        <v>2584</v>
      </c>
      <c r="CU2233" s="584" t="s">
        <v>2585</v>
      </c>
      <c r="CV2233" s="585" t="s">
        <v>6675</v>
      </c>
    </row>
    <row r="2234" spans="91:100" x14ac:dyDescent="0.25">
      <c r="CM2234" s="582"/>
      <c r="CN2234" s="584" t="s">
        <v>6836</v>
      </c>
      <c r="CO2234" s="584" t="s">
        <v>1918</v>
      </c>
      <c r="CP2234" s="584" t="s">
        <v>1888</v>
      </c>
      <c r="CQ2234" s="584" t="s">
        <v>6837</v>
      </c>
      <c r="CR2234" s="584" t="s">
        <v>6837</v>
      </c>
      <c r="CS2234" s="584" t="s">
        <v>1890</v>
      </c>
      <c r="CT2234" s="584" t="s">
        <v>6703</v>
      </c>
      <c r="CU2234" s="584" t="s">
        <v>1892</v>
      </c>
      <c r="CV2234" s="585" t="s">
        <v>1893</v>
      </c>
    </row>
    <row r="2235" spans="91:100" x14ac:dyDescent="0.25">
      <c r="CM2235" s="582"/>
      <c r="CN2235" s="584" t="s">
        <v>6838</v>
      </c>
      <c r="CO2235" s="584" t="s">
        <v>1918</v>
      </c>
      <c r="CP2235" s="584" t="s">
        <v>1888</v>
      </c>
      <c r="CQ2235" s="584" t="s">
        <v>6839</v>
      </c>
      <c r="CR2235" s="584" t="s">
        <v>6839</v>
      </c>
      <c r="CS2235" s="584" t="s">
        <v>1890</v>
      </c>
      <c r="CT2235" s="584" t="s">
        <v>6703</v>
      </c>
      <c r="CU2235" s="584" t="s">
        <v>1892</v>
      </c>
      <c r="CV2235" s="585" t="s">
        <v>1893</v>
      </c>
    </row>
    <row r="2236" spans="91:100" x14ac:dyDescent="0.25">
      <c r="CM2236" s="582"/>
      <c r="CN2236" s="584" t="s">
        <v>6840</v>
      </c>
      <c r="CO2236" s="584" t="s">
        <v>1918</v>
      </c>
      <c r="CP2236" s="584" t="s">
        <v>1888</v>
      </c>
      <c r="CQ2236" s="584" t="s">
        <v>6841</v>
      </c>
      <c r="CR2236" s="584" t="s">
        <v>6841</v>
      </c>
      <c r="CS2236" s="584" t="s">
        <v>1890</v>
      </c>
      <c r="CT2236" s="584" t="s">
        <v>6703</v>
      </c>
      <c r="CU2236" s="584" t="s">
        <v>1892</v>
      </c>
      <c r="CV2236" s="585" t="s">
        <v>1893</v>
      </c>
    </row>
    <row r="2237" spans="91:100" x14ac:dyDescent="0.25">
      <c r="CM2237" s="582"/>
      <c r="CN2237" s="584" t="s">
        <v>6842</v>
      </c>
      <c r="CO2237" s="584" t="s">
        <v>1918</v>
      </c>
      <c r="CP2237" s="584" t="s">
        <v>1888</v>
      </c>
      <c r="CQ2237" s="584" t="s">
        <v>6843</v>
      </c>
      <c r="CR2237" s="584" t="s">
        <v>6843</v>
      </c>
      <c r="CS2237" s="584" t="s">
        <v>1890</v>
      </c>
      <c r="CT2237" s="584" t="s">
        <v>6703</v>
      </c>
      <c r="CU2237" s="584" t="s">
        <v>1892</v>
      </c>
      <c r="CV2237" s="585" t="s">
        <v>1893</v>
      </c>
    </row>
    <row r="2238" spans="91:100" x14ac:dyDescent="0.25">
      <c r="CM2238" s="582"/>
      <c r="CN2238" s="584" t="s">
        <v>6844</v>
      </c>
      <c r="CO2238" s="584" t="s">
        <v>1918</v>
      </c>
      <c r="CP2238" s="584" t="s">
        <v>1888</v>
      </c>
      <c r="CQ2238" s="584" t="s">
        <v>6845</v>
      </c>
      <c r="CR2238" s="584" t="s">
        <v>6846</v>
      </c>
      <c r="CS2238" s="584" t="s">
        <v>1890</v>
      </c>
      <c r="CT2238" s="584" t="s">
        <v>6703</v>
      </c>
      <c r="CU2238" s="584" t="s">
        <v>1892</v>
      </c>
      <c r="CV2238" s="585" t="s">
        <v>1893</v>
      </c>
    </row>
    <row r="2239" spans="91:100" ht="25.5" x14ac:dyDescent="0.25">
      <c r="CM2239" s="582"/>
      <c r="CN2239" s="584" t="s">
        <v>6847</v>
      </c>
      <c r="CO2239" s="584" t="s">
        <v>1918</v>
      </c>
      <c r="CP2239" s="584" t="s">
        <v>1888</v>
      </c>
      <c r="CQ2239" s="584" t="s">
        <v>6848</v>
      </c>
      <c r="CR2239" s="584" t="s">
        <v>6848</v>
      </c>
      <c r="CS2239" s="584" t="s">
        <v>2583</v>
      </c>
      <c r="CT2239" s="584" t="s">
        <v>2584</v>
      </c>
      <c r="CU2239" s="584" t="s">
        <v>2585</v>
      </c>
      <c r="CV2239" s="585" t="s">
        <v>6675</v>
      </c>
    </row>
    <row r="2240" spans="91:100" ht="25.5" x14ac:dyDescent="0.25">
      <c r="CM2240" s="582"/>
      <c r="CN2240" s="584" t="s">
        <v>6849</v>
      </c>
      <c r="CO2240" s="584" t="s">
        <v>1918</v>
      </c>
      <c r="CP2240" s="584" t="s">
        <v>1888</v>
      </c>
      <c r="CQ2240" s="584" t="s">
        <v>6850</v>
      </c>
      <c r="CR2240" s="584" t="s">
        <v>6850</v>
      </c>
      <c r="CS2240" s="584" t="s">
        <v>2583</v>
      </c>
      <c r="CT2240" s="584" t="s">
        <v>2584</v>
      </c>
      <c r="CU2240" s="584" t="s">
        <v>2585</v>
      </c>
      <c r="CV2240" s="585" t="s">
        <v>6675</v>
      </c>
    </row>
    <row r="2241" spans="91:100" ht="25.5" x14ac:dyDescent="0.25">
      <c r="CM2241" s="582"/>
      <c r="CN2241" s="584" t="s">
        <v>6851</v>
      </c>
      <c r="CO2241" s="584" t="s">
        <v>1918</v>
      </c>
      <c r="CP2241" s="584" t="s">
        <v>1888</v>
      </c>
      <c r="CQ2241" s="584" t="s">
        <v>6852</v>
      </c>
      <c r="CR2241" s="584" t="s">
        <v>6852</v>
      </c>
      <c r="CS2241" s="584" t="s">
        <v>2583</v>
      </c>
      <c r="CT2241" s="584" t="s">
        <v>2584</v>
      </c>
      <c r="CU2241" s="584" t="s">
        <v>2585</v>
      </c>
      <c r="CV2241" s="585" t="s">
        <v>6675</v>
      </c>
    </row>
    <row r="2242" spans="91:100" x14ac:dyDescent="0.25">
      <c r="CM2242" s="582"/>
      <c r="CN2242" s="584" t="s">
        <v>6853</v>
      </c>
      <c r="CO2242" s="584" t="s">
        <v>1918</v>
      </c>
      <c r="CP2242" s="584" t="s">
        <v>1888</v>
      </c>
      <c r="CQ2242" s="584" t="s">
        <v>6854</v>
      </c>
      <c r="CR2242" s="584" t="s">
        <v>6854</v>
      </c>
      <c r="CS2242" s="584" t="s">
        <v>1890</v>
      </c>
      <c r="CT2242" s="584" t="s">
        <v>6703</v>
      </c>
      <c r="CU2242" s="584" t="s">
        <v>1892</v>
      </c>
      <c r="CV2242" s="585" t="s">
        <v>1893</v>
      </c>
    </row>
    <row r="2243" spans="91:100" x14ac:dyDescent="0.25">
      <c r="CM2243" s="582"/>
      <c r="CN2243" s="584" t="s">
        <v>6855</v>
      </c>
      <c r="CO2243" s="584" t="s">
        <v>1918</v>
      </c>
      <c r="CP2243" s="584" t="s">
        <v>1888</v>
      </c>
      <c r="CQ2243" s="584" t="s">
        <v>6856</v>
      </c>
      <c r="CR2243" s="584" t="s">
        <v>6856</v>
      </c>
      <c r="CS2243" s="584" t="s">
        <v>1890</v>
      </c>
      <c r="CT2243" s="584" t="s">
        <v>6703</v>
      </c>
      <c r="CU2243" s="584" t="s">
        <v>1892</v>
      </c>
      <c r="CV2243" s="585" t="s">
        <v>1893</v>
      </c>
    </row>
    <row r="2244" spans="91:100" ht="25.5" x14ac:dyDescent="0.25">
      <c r="CM2244" s="582"/>
      <c r="CN2244" s="584" t="s">
        <v>6857</v>
      </c>
      <c r="CO2244" s="584" t="s">
        <v>1918</v>
      </c>
      <c r="CP2244" s="584" t="s">
        <v>1888</v>
      </c>
      <c r="CQ2244" s="584" t="s">
        <v>6858</v>
      </c>
      <c r="CR2244" s="584" t="s">
        <v>6858</v>
      </c>
      <c r="CS2244" s="584" t="s">
        <v>2583</v>
      </c>
      <c r="CT2244" s="584" t="s">
        <v>2584</v>
      </c>
      <c r="CU2244" s="584" t="s">
        <v>2585</v>
      </c>
      <c r="CV2244" s="585" t="s">
        <v>6675</v>
      </c>
    </row>
    <row r="2245" spans="91:100" ht="25.5" x14ac:dyDescent="0.25">
      <c r="CM2245" s="582"/>
      <c r="CN2245" s="584" t="s">
        <v>6859</v>
      </c>
      <c r="CO2245" s="584" t="s">
        <v>1918</v>
      </c>
      <c r="CP2245" s="584" t="s">
        <v>1888</v>
      </c>
      <c r="CQ2245" s="584" t="s">
        <v>6860</v>
      </c>
      <c r="CR2245" s="584" t="s">
        <v>6860</v>
      </c>
      <c r="CS2245" s="584" t="s">
        <v>2583</v>
      </c>
      <c r="CT2245" s="584" t="s">
        <v>2584</v>
      </c>
      <c r="CU2245" s="584" t="s">
        <v>2585</v>
      </c>
      <c r="CV2245" s="585" t="s">
        <v>6675</v>
      </c>
    </row>
    <row r="2246" spans="91:100" ht="25.5" x14ac:dyDescent="0.25">
      <c r="CM2246" s="582"/>
      <c r="CN2246" s="584" t="s">
        <v>6861</v>
      </c>
      <c r="CO2246" s="584" t="s">
        <v>1918</v>
      </c>
      <c r="CP2246" s="584" t="s">
        <v>1888</v>
      </c>
      <c r="CQ2246" s="584" t="s">
        <v>6862</v>
      </c>
      <c r="CR2246" s="584" t="s">
        <v>6862</v>
      </c>
      <c r="CS2246" s="584" t="s">
        <v>2583</v>
      </c>
      <c r="CT2246" s="584" t="s">
        <v>2584</v>
      </c>
      <c r="CU2246" s="584" t="s">
        <v>2585</v>
      </c>
      <c r="CV2246" s="585" t="s">
        <v>6675</v>
      </c>
    </row>
    <row r="2247" spans="91:100" ht="25.5" x14ac:dyDescent="0.25">
      <c r="CM2247" s="582"/>
      <c r="CN2247" s="584" t="s">
        <v>6863</v>
      </c>
      <c r="CO2247" s="584" t="s">
        <v>1918</v>
      </c>
      <c r="CP2247" s="584" t="s">
        <v>1888</v>
      </c>
      <c r="CQ2247" s="584" t="s">
        <v>6864</v>
      </c>
      <c r="CR2247" s="584" t="s">
        <v>6864</v>
      </c>
      <c r="CS2247" s="584" t="s">
        <v>2583</v>
      </c>
      <c r="CT2247" s="584" t="s">
        <v>2584</v>
      </c>
      <c r="CU2247" s="584" t="s">
        <v>2585</v>
      </c>
      <c r="CV2247" s="585" t="s">
        <v>6675</v>
      </c>
    </row>
    <row r="2248" spans="91:100" ht="25.5" x14ac:dyDescent="0.25">
      <c r="CM2248" s="582"/>
      <c r="CN2248" s="584" t="s">
        <v>6865</v>
      </c>
      <c r="CO2248" s="584" t="s">
        <v>1918</v>
      </c>
      <c r="CP2248" s="584" t="s">
        <v>1888</v>
      </c>
      <c r="CQ2248" s="584" t="s">
        <v>6866</v>
      </c>
      <c r="CR2248" s="584" t="s">
        <v>6866</v>
      </c>
      <c r="CS2248" s="584" t="s">
        <v>2583</v>
      </c>
      <c r="CT2248" s="584" t="s">
        <v>2584</v>
      </c>
      <c r="CU2248" s="584" t="s">
        <v>2585</v>
      </c>
      <c r="CV2248" s="585" t="s">
        <v>6675</v>
      </c>
    </row>
    <row r="2249" spans="91:100" x14ac:dyDescent="0.25">
      <c r="CM2249" s="582"/>
      <c r="CN2249" s="584" t="s">
        <v>6867</v>
      </c>
      <c r="CO2249" s="584" t="s">
        <v>1918</v>
      </c>
      <c r="CP2249" s="584" t="s">
        <v>1888</v>
      </c>
      <c r="CQ2249" s="584" t="s">
        <v>6868</v>
      </c>
      <c r="CR2249" s="584" t="s">
        <v>6869</v>
      </c>
      <c r="CS2249" s="584" t="s">
        <v>1890</v>
      </c>
      <c r="CT2249" s="584" t="s">
        <v>6703</v>
      </c>
      <c r="CU2249" s="584" t="s">
        <v>1892</v>
      </c>
      <c r="CV2249" s="585" t="s">
        <v>1893</v>
      </c>
    </row>
    <row r="2250" spans="91:100" ht="25.5" x14ac:dyDescent="0.25">
      <c r="CM2250" s="582"/>
      <c r="CN2250" s="584" t="s">
        <v>6870</v>
      </c>
      <c r="CO2250" s="584" t="s">
        <v>1918</v>
      </c>
      <c r="CP2250" s="584" t="s">
        <v>1888</v>
      </c>
      <c r="CQ2250" s="584" t="s">
        <v>6871</v>
      </c>
      <c r="CR2250" s="584" t="s">
        <v>6871</v>
      </c>
      <c r="CS2250" s="584" t="s">
        <v>2583</v>
      </c>
      <c r="CT2250" s="584" t="s">
        <v>2584</v>
      </c>
      <c r="CU2250" s="584" t="s">
        <v>2585</v>
      </c>
      <c r="CV2250" s="585" t="s">
        <v>6675</v>
      </c>
    </row>
    <row r="2251" spans="91:100" ht="25.5" x14ac:dyDescent="0.25">
      <c r="CM2251" s="582"/>
      <c r="CN2251" s="584" t="s">
        <v>6872</v>
      </c>
      <c r="CO2251" s="584" t="s">
        <v>1918</v>
      </c>
      <c r="CP2251" s="584" t="s">
        <v>1888</v>
      </c>
      <c r="CQ2251" s="584" t="s">
        <v>6873</v>
      </c>
      <c r="CR2251" s="584" t="s">
        <v>6873</v>
      </c>
      <c r="CS2251" s="584" t="s">
        <v>2583</v>
      </c>
      <c r="CT2251" s="584" t="s">
        <v>2584</v>
      </c>
      <c r="CU2251" s="584" t="s">
        <v>2585</v>
      </c>
      <c r="CV2251" s="585" t="s">
        <v>6675</v>
      </c>
    </row>
    <row r="2252" spans="91:100" ht="25.5" x14ac:dyDescent="0.25">
      <c r="CM2252" s="582"/>
      <c r="CN2252" s="584" t="s">
        <v>6874</v>
      </c>
      <c r="CO2252" s="584" t="s">
        <v>1918</v>
      </c>
      <c r="CP2252" s="584" t="s">
        <v>1888</v>
      </c>
      <c r="CQ2252" s="584" t="s">
        <v>6875</v>
      </c>
      <c r="CR2252" s="584" t="s">
        <v>6875</v>
      </c>
      <c r="CS2252" s="584" t="s">
        <v>2583</v>
      </c>
      <c r="CT2252" s="584" t="s">
        <v>2584</v>
      </c>
      <c r="CU2252" s="584" t="s">
        <v>2585</v>
      </c>
      <c r="CV2252" s="585" t="s">
        <v>6675</v>
      </c>
    </row>
    <row r="2253" spans="91:100" ht="25.5" x14ac:dyDescent="0.25">
      <c r="CM2253" s="582"/>
      <c r="CN2253" s="584" t="s">
        <v>6876</v>
      </c>
      <c r="CO2253" s="584" t="s">
        <v>1918</v>
      </c>
      <c r="CP2253" s="584" t="s">
        <v>1888</v>
      </c>
      <c r="CQ2253" s="584" t="s">
        <v>6877</v>
      </c>
      <c r="CR2253" s="584" t="s">
        <v>6877</v>
      </c>
      <c r="CS2253" s="584" t="s">
        <v>2583</v>
      </c>
      <c r="CT2253" s="584" t="s">
        <v>2584</v>
      </c>
      <c r="CU2253" s="584" t="s">
        <v>2585</v>
      </c>
      <c r="CV2253" s="585" t="s">
        <v>6675</v>
      </c>
    </row>
    <row r="2254" spans="91:100" ht="25.5" x14ac:dyDescent="0.25">
      <c r="CM2254" s="582"/>
      <c r="CN2254" s="584" t="s">
        <v>6878</v>
      </c>
      <c r="CO2254" s="584" t="s">
        <v>1918</v>
      </c>
      <c r="CP2254" s="584" t="s">
        <v>1888</v>
      </c>
      <c r="CQ2254" s="584" t="s">
        <v>6879</v>
      </c>
      <c r="CR2254" s="584" t="s">
        <v>6879</v>
      </c>
      <c r="CS2254" s="584" t="s">
        <v>2583</v>
      </c>
      <c r="CT2254" s="584" t="s">
        <v>2584</v>
      </c>
      <c r="CU2254" s="584" t="s">
        <v>2585</v>
      </c>
      <c r="CV2254" s="585" t="s">
        <v>6675</v>
      </c>
    </row>
    <row r="2255" spans="91:100" ht="25.5" x14ac:dyDescent="0.25">
      <c r="CM2255" s="582"/>
      <c r="CN2255" s="584" t="s">
        <v>6880</v>
      </c>
      <c r="CO2255" s="584" t="s">
        <v>1918</v>
      </c>
      <c r="CP2255" s="584" t="s">
        <v>1888</v>
      </c>
      <c r="CQ2255" s="584" t="s">
        <v>6881</v>
      </c>
      <c r="CR2255" s="584" t="s">
        <v>6881</v>
      </c>
      <c r="CS2255" s="584" t="s">
        <v>2583</v>
      </c>
      <c r="CT2255" s="584" t="s">
        <v>2584</v>
      </c>
      <c r="CU2255" s="584" t="s">
        <v>2585</v>
      </c>
      <c r="CV2255" s="585" t="s">
        <v>6675</v>
      </c>
    </row>
    <row r="2256" spans="91:100" ht="25.5" x14ac:dyDescent="0.25">
      <c r="CM2256" s="582"/>
      <c r="CN2256" s="584" t="s">
        <v>6882</v>
      </c>
      <c r="CO2256" s="584" t="s">
        <v>1918</v>
      </c>
      <c r="CP2256" s="584" t="s">
        <v>1888</v>
      </c>
      <c r="CQ2256" s="584" t="s">
        <v>6883</v>
      </c>
      <c r="CR2256" s="584" t="s">
        <v>6883</v>
      </c>
      <c r="CS2256" s="584" t="s">
        <v>2583</v>
      </c>
      <c r="CT2256" s="584" t="s">
        <v>2584</v>
      </c>
      <c r="CU2256" s="584" t="s">
        <v>2585</v>
      </c>
      <c r="CV2256" s="585" t="s">
        <v>6675</v>
      </c>
    </row>
    <row r="2257" spans="91:100" ht="25.5" x14ac:dyDescent="0.25">
      <c r="CM2257" s="582"/>
      <c r="CN2257" s="584" t="s">
        <v>6884</v>
      </c>
      <c r="CO2257" s="584" t="s">
        <v>1918</v>
      </c>
      <c r="CP2257" s="584" t="s">
        <v>1888</v>
      </c>
      <c r="CQ2257" s="584" t="s">
        <v>6885</v>
      </c>
      <c r="CR2257" s="584" t="s">
        <v>6885</v>
      </c>
      <c r="CS2257" s="584" t="s">
        <v>2583</v>
      </c>
      <c r="CT2257" s="584" t="s">
        <v>2584</v>
      </c>
      <c r="CU2257" s="584" t="s">
        <v>2585</v>
      </c>
      <c r="CV2257" s="585" t="s">
        <v>6675</v>
      </c>
    </row>
    <row r="2258" spans="91:100" ht="25.5" x14ac:dyDescent="0.25">
      <c r="CM2258" s="582"/>
      <c r="CN2258" s="584" t="s">
        <v>6886</v>
      </c>
      <c r="CO2258" s="584" t="s">
        <v>1918</v>
      </c>
      <c r="CP2258" s="584" t="s">
        <v>1888</v>
      </c>
      <c r="CQ2258" s="584" t="s">
        <v>6887</v>
      </c>
      <c r="CR2258" s="584" t="s">
        <v>6887</v>
      </c>
      <c r="CS2258" s="584" t="s">
        <v>2583</v>
      </c>
      <c r="CT2258" s="584" t="s">
        <v>2584</v>
      </c>
      <c r="CU2258" s="584" t="s">
        <v>2585</v>
      </c>
      <c r="CV2258" s="585" t="s">
        <v>6675</v>
      </c>
    </row>
    <row r="2259" spans="91:100" ht="25.5" x14ac:dyDescent="0.25">
      <c r="CM2259" s="582"/>
      <c r="CN2259" s="584" t="s">
        <v>6888</v>
      </c>
      <c r="CO2259" s="584" t="s">
        <v>1918</v>
      </c>
      <c r="CP2259" s="584" t="s">
        <v>1888</v>
      </c>
      <c r="CQ2259" s="584" t="s">
        <v>6889</v>
      </c>
      <c r="CR2259" s="584" t="s">
        <v>6889</v>
      </c>
      <c r="CS2259" s="584" t="s">
        <v>2583</v>
      </c>
      <c r="CT2259" s="584" t="s">
        <v>2584</v>
      </c>
      <c r="CU2259" s="584" t="s">
        <v>2585</v>
      </c>
      <c r="CV2259" s="585" t="s">
        <v>6675</v>
      </c>
    </row>
    <row r="2260" spans="91:100" ht="25.5" x14ac:dyDescent="0.25">
      <c r="CM2260" s="582"/>
      <c r="CN2260" s="584" t="s">
        <v>6890</v>
      </c>
      <c r="CO2260" s="584" t="s">
        <v>1918</v>
      </c>
      <c r="CP2260" s="584" t="s">
        <v>1888</v>
      </c>
      <c r="CQ2260" s="584" t="s">
        <v>6891</v>
      </c>
      <c r="CR2260" s="584" t="s">
        <v>6891</v>
      </c>
      <c r="CS2260" s="584" t="s">
        <v>2583</v>
      </c>
      <c r="CT2260" s="584" t="s">
        <v>2584</v>
      </c>
      <c r="CU2260" s="584" t="s">
        <v>2585</v>
      </c>
      <c r="CV2260" s="585" t="s">
        <v>6675</v>
      </c>
    </row>
    <row r="2261" spans="91:100" x14ac:dyDescent="0.25">
      <c r="CM2261" s="582"/>
      <c r="CN2261" s="584" t="s">
        <v>6892</v>
      </c>
      <c r="CO2261" s="584" t="s">
        <v>1918</v>
      </c>
      <c r="CP2261" s="584" t="s">
        <v>1888</v>
      </c>
      <c r="CQ2261" s="584" t="s">
        <v>6893</v>
      </c>
      <c r="CR2261" s="584" t="s">
        <v>6894</v>
      </c>
      <c r="CS2261" s="584" t="s">
        <v>1890</v>
      </c>
      <c r="CT2261" s="584" t="s">
        <v>6703</v>
      </c>
      <c r="CU2261" s="584" t="s">
        <v>1892</v>
      </c>
      <c r="CV2261" s="585" t="s">
        <v>1893</v>
      </c>
    </row>
    <row r="2262" spans="91:100" ht="25.5" x14ac:dyDescent="0.25">
      <c r="CM2262" s="582"/>
      <c r="CN2262" s="584" t="s">
        <v>6895</v>
      </c>
      <c r="CO2262" s="584" t="s">
        <v>1918</v>
      </c>
      <c r="CP2262" s="584" t="s">
        <v>1888</v>
      </c>
      <c r="CQ2262" s="584" t="s">
        <v>6896</v>
      </c>
      <c r="CR2262" s="584" t="s">
        <v>6896</v>
      </c>
      <c r="CS2262" s="584" t="s">
        <v>2583</v>
      </c>
      <c r="CT2262" s="584" t="s">
        <v>2584</v>
      </c>
      <c r="CU2262" s="584" t="s">
        <v>2585</v>
      </c>
      <c r="CV2262" s="585" t="s">
        <v>6675</v>
      </c>
    </row>
    <row r="2263" spans="91:100" ht="25.5" x14ac:dyDescent="0.25">
      <c r="CM2263" s="582"/>
      <c r="CN2263" s="584" t="s">
        <v>6897</v>
      </c>
      <c r="CO2263" s="584" t="s">
        <v>1918</v>
      </c>
      <c r="CP2263" s="584" t="s">
        <v>1888</v>
      </c>
      <c r="CQ2263" s="584" t="s">
        <v>6898</v>
      </c>
      <c r="CR2263" s="584" t="s">
        <v>6898</v>
      </c>
      <c r="CS2263" s="584" t="s">
        <v>2583</v>
      </c>
      <c r="CT2263" s="584" t="s">
        <v>2584</v>
      </c>
      <c r="CU2263" s="584" t="s">
        <v>2585</v>
      </c>
      <c r="CV2263" s="585" t="s">
        <v>6675</v>
      </c>
    </row>
    <row r="2264" spans="91:100" x14ac:dyDescent="0.25">
      <c r="CM2264" s="582"/>
      <c r="CN2264" s="584" t="s">
        <v>6899</v>
      </c>
      <c r="CO2264" s="584" t="s">
        <v>1918</v>
      </c>
      <c r="CP2264" s="584" t="s">
        <v>1888</v>
      </c>
      <c r="CQ2264" s="584" t="s">
        <v>6900</v>
      </c>
      <c r="CR2264" s="584" t="s">
        <v>6900</v>
      </c>
      <c r="CS2264" s="584" t="s">
        <v>1890</v>
      </c>
      <c r="CT2264" s="584" t="s">
        <v>6703</v>
      </c>
      <c r="CU2264" s="584" t="s">
        <v>1892</v>
      </c>
      <c r="CV2264" s="585" t="s">
        <v>1893</v>
      </c>
    </row>
    <row r="2265" spans="91:100" ht="25.5" x14ac:dyDescent="0.25">
      <c r="CM2265" s="582"/>
      <c r="CN2265" s="584" t="s">
        <v>6901</v>
      </c>
      <c r="CO2265" s="584" t="s">
        <v>1918</v>
      </c>
      <c r="CP2265" s="584" t="s">
        <v>1888</v>
      </c>
      <c r="CQ2265" s="584" t="s">
        <v>6902</v>
      </c>
      <c r="CR2265" s="584" t="s">
        <v>6902</v>
      </c>
      <c r="CS2265" s="584" t="s">
        <v>2583</v>
      </c>
      <c r="CT2265" s="584" t="s">
        <v>2584</v>
      </c>
      <c r="CU2265" s="584" t="s">
        <v>2585</v>
      </c>
      <c r="CV2265" s="585" t="s">
        <v>6675</v>
      </c>
    </row>
    <row r="2266" spans="91:100" ht="25.5" x14ac:dyDescent="0.25">
      <c r="CM2266" s="582"/>
      <c r="CN2266" s="584" t="s">
        <v>6903</v>
      </c>
      <c r="CO2266" s="584" t="s">
        <v>1918</v>
      </c>
      <c r="CP2266" s="584" t="s">
        <v>1888</v>
      </c>
      <c r="CQ2266" s="584" t="s">
        <v>6904</v>
      </c>
      <c r="CR2266" s="584" t="s">
        <v>6904</v>
      </c>
      <c r="CS2266" s="584" t="s">
        <v>2583</v>
      </c>
      <c r="CT2266" s="584" t="s">
        <v>2584</v>
      </c>
      <c r="CU2266" s="584" t="s">
        <v>2585</v>
      </c>
      <c r="CV2266" s="585" t="s">
        <v>6675</v>
      </c>
    </row>
    <row r="2267" spans="91:100" ht="25.5" x14ac:dyDescent="0.25">
      <c r="CM2267" s="582"/>
      <c r="CN2267" s="584" t="s">
        <v>6905</v>
      </c>
      <c r="CO2267" s="584" t="s">
        <v>1918</v>
      </c>
      <c r="CP2267" s="584" t="s">
        <v>1888</v>
      </c>
      <c r="CQ2267" s="584" t="s">
        <v>6906</v>
      </c>
      <c r="CR2267" s="584" t="s">
        <v>6906</v>
      </c>
      <c r="CS2267" s="584" t="s">
        <v>2583</v>
      </c>
      <c r="CT2267" s="584" t="s">
        <v>2584</v>
      </c>
      <c r="CU2267" s="584" t="s">
        <v>2585</v>
      </c>
      <c r="CV2267" s="585" t="s">
        <v>6675</v>
      </c>
    </row>
    <row r="2268" spans="91:100" ht="25.5" x14ac:dyDescent="0.25">
      <c r="CM2268" s="582"/>
      <c r="CN2268" s="584" t="s">
        <v>6907</v>
      </c>
      <c r="CO2268" s="584" t="s">
        <v>1918</v>
      </c>
      <c r="CP2268" s="584" t="s">
        <v>1888</v>
      </c>
      <c r="CQ2268" s="584" t="s">
        <v>6908</v>
      </c>
      <c r="CR2268" s="584" t="s">
        <v>6908</v>
      </c>
      <c r="CS2268" s="584" t="s">
        <v>2583</v>
      </c>
      <c r="CT2268" s="584" t="s">
        <v>2584</v>
      </c>
      <c r="CU2268" s="584" t="s">
        <v>2585</v>
      </c>
      <c r="CV2268" s="585" t="s">
        <v>6675</v>
      </c>
    </row>
    <row r="2269" spans="91:100" ht="25.5" x14ac:dyDescent="0.25">
      <c r="CM2269" s="582"/>
      <c r="CN2269" s="584" t="s">
        <v>6909</v>
      </c>
      <c r="CO2269" s="584" t="s">
        <v>1918</v>
      </c>
      <c r="CP2269" s="584" t="s">
        <v>1888</v>
      </c>
      <c r="CQ2269" s="584" t="s">
        <v>6910</v>
      </c>
      <c r="CR2269" s="584" t="s">
        <v>6910</v>
      </c>
      <c r="CS2269" s="584" t="s">
        <v>2583</v>
      </c>
      <c r="CT2269" s="584" t="s">
        <v>2584</v>
      </c>
      <c r="CU2269" s="584" t="s">
        <v>2585</v>
      </c>
      <c r="CV2269" s="585" t="s">
        <v>6675</v>
      </c>
    </row>
    <row r="2270" spans="91:100" ht="25.5" x14ac:dyDescent="0.25">
      <c r="CM2270" s="582"/>
      <c r="CN2270" s="584" t="s">
        <v>6911</v>
      </c>
      <c r="CO2270" s="584" t="s">
        <v>1918</v>
      </c>
      <c r="CP2270" s="584" t="s">
        <v>1888</v>
      </c>
      <c r="CQ2270" s="584" t="s">
        <v>6912</v>
      </c>
      <c r="CR2270" s="584" t="s">
        <v>6912</v>
      </c>
      <c r="CS2270" s="584" t="s">
        <v>2583</v>
      </c>
      <c r="CT2270" s="584" t="s">
        <v>2584</v>
      </c>
      <c r="CU2270" s="584" t="s">
        <v>2585</v>
      </c>
      <c r="CV2270" s="585" t="s">
        <v>6675</v>
      </c>
    </row>
    <row r="2271" spans="91:100" ht="25.5" x14ac:dyDescent="0.25">
      <c r="CM2271" s="582"/>
      <c r="CN2271" s="584" t="s">
        <v>6913</v>
      </c>
      <c r="CO2271" s="584" t="s">
        <v>1918</v>
      </c>
      <c r="CP2271" s="584" t="s">
        <v>1888</v>
      </c>
      <c r="CQ2271" s="584" t="s">
        <v>6914</v>
      </c>
      <c r="CR2271" s="584" t="s">
        <v>6914</v>
      </c>
      <c r="CS2271" s="584" t="s">
        <v>2583</v>
      </c>
      <c r="CT2271" s="584" t="s">
        <v>2584</v>
      </c>
      <c r="CU2271" s="584" t="s">
        <v>2585</v>
      </c>
      <c r="CV2271" s="585" t="s">
        <v>6675</v>
      </c>
    </row>
    <row r="2272" spans="91:100" ht="25.5" x14ac:dyDescent="0.25">
      <c r="CM2272" s="582"/>
      <c r="CN2272" s="584" t="s">
        <v>6915</v>
      </c>
      <c r="CO2272" s="584" t="s">
        <v>1918</v>
      </c>
      <c r="CP2272" s="584" t="s">
        <v>1888</v>
      </c>
      <c r="CQ2272" s="584" t="s">
        <v>6916</v>
      </c>
      <c r="CR2272" s="584" t="s">
        <v>6916</v>
      </c>
      <c r="CS2272" s="584" t="s">
        <v>2583</v>
      </c>
      <c r="CT2272" s="584" t="s">
        <v>2584</v>
      </c>
      <c r="CU2272" s="584" t="s">
        <v>2585</v>
      </c>
      <c r="CV2272" s="585" t="s">
        <v>6675</v>
      </c>
    </row>
    <row r="2273" spans="91:100" ht="25.5" x14ac:dyDescent="0.25">
      <c r="CM2273" s="582"/>
      <c r="CN2273" s="584" t="s">
        <v>6917</v>
      </c>
      <c r="CO2273" s="584" t="s">
        <v>1918</v>
      </c>
      <c r="CP2273" s="584" t="s">
        <v>1888</v>
      </c>
      <c r="CQ2273" s="584" t="s">
        <v>6918</v>
      </c>
      <c r="CR2273" s="584" t="s">
        <v>6918</v>
      </c>
      <c r="CS2273" s="584" t="s">
        <v>2583</v>
      </c>
      <c r="CT2273" s="584" t="s">
        <v>2584</v>
      </c>
      <c r="CU2273" s="584" t="s">
        <v>2585</v>
      </c>
      <c r="CV2273" s="585" t="s">
        <v>6675</v>
      </c>
    </row>
    <row r="2274" spans="91:100" ht="25.5" x14ac:dyDescent="0.25">
      <c r="CM2274" s="582"/>
      <c r="CN2274" s="584" t="s">
        <v>6919</v>
      </c>
      <c r="CO2274" s="584" t="s">
        <v>1918</v>
      </c>
      <c r="CP2274" s="584" t="s">
        <v>1888</v>
      </c>
      <c r="CQ2274" s="584" t="s">
        <v>6920</v>
      </c>
      <c r="CR2274" s="584" t="s">
        <v>6920</v>
      </c>
      <c r="CS2274" s="584" t="s">
        <v>2583</v>
      </c>
      <c r="CT2274" s="584" t="s">
        <v>2584</v>
      </c>
      <c r="CU2274" s="584" t="s">
        <v>2585</v>
      </c>
      <c r="CV2274" s="585" t="s">
        <v>6675</v>
      </c>
    </row>
    <row r="2275" spans="91:100" ht="25.5" x14ac:dyDescent="0.25">
      <c r="CM2275" s="582"/>
      <c r="CN2275" s="584" t="s">
        <v>6921</v>
      </c>
      <c r="CO2275" s="584" t="s">
        <v>1918</v>
      </c>
      <c r="CP2275" s="584" t="s">
        <v>1888</v>
      </c>
      <c r="CQ2275" s="584" t="s">
        <v>6922</v>
      </c>
      <c r="CR2275" s="584" t="s">
        <v>6922</v>
      </c>
      <c r="CS2275" s="584" t="s">
        <v>2583</v>
      </c>
      <c r="CT2275" s="584" t="s">
        <v>2584</v>
      </c>
      <c r="CU2275" s="584" t="s">
        <v>2585</v>
      </c>
      <c r="CV2275" s="585" t="s">
        <v>6675</v>
      </c>
    </row>
    <row r="2276" spans="91:100" ht="25.5" x14ac:dyDescent="0.25">
      <c r="CM2276" s="582"/>
      <c r="CN2276" s="584" t="s">
        <v>6923</v>
      </c>
      <c r="CO2276" s="584" t="s">
        <v>1918</v>
      </c>
      <c r="CP2276" s="584" t="s">
        <v>1888</v>
      </c>
      <c r="CQ2276" s="584" t="s">
        <v>6924</v>
      </c>
      <c r="CR2276" s="584" t="s">
        <v>6924</v>
      </c>
      <c r="CS2276" s="584" t="s">
        <v>2583</v>
      </c>
      <c r="CT2276" s="584" t="s">
        <v>2584</v>
      </c>
      <c r="CU2276" s="584" t="s">
        <v>2585</v>
      </c>
      <c r="CV2276" s="585" t="s">
        <v>6675</v>
      </c>
    </row>
    <row r="2277" spans="91:100" ht="25.5" x14ac:dyDescent="0.25">
      <c r="CM2277" s="582"/>
      <c r="CN2277" s="584" t="s">
        <v>6925</v>
      </c>
      <c r="CO2277" s="584" t="s">
        <v>1918</v>
      </c>
      <c r="CP2277" s="584" t="s">
        <v>1888</v>
      </c>
      <c r="CQ2277" s="584" t="s">
        <v>6926</v>
      </c>
      <c r="CR2277" s="584" t="s">
        <v>6926</v>
      </c>
      <c r="CS2277" s="584" t="s">
        <v>2583</v>
      </c>
      <c r="CT2277" s="584" t="s">
        <v>2584</v>
      </c>
      <c r="CU2277" s="584" t="s">
        <v>2585</v>
      </c>
      <c r="CV2277" s="585" t="s">
        <v>6675</v>
      </c>
    </row>
    <row r="2278" spans="91:100" x14ac:dyDescent="0.25">
      <c r="CM2278" s="582"/>
      <c r="CN2278" s="584" t="s">
        <v>6927</v>
      </c>
      <c r="CO2278" s="584" t="s">
        <v>1918</v>
      </c>
      <c r="CP2278" s="584" t="s">
        <v>1888</v>
      </c>
      <c r="CQ2278" s="584" t="s">
        <v>6928</v>
      </c>
      <c r="CR2278" s="584" t="s">
        <v>6928</v>
      </c>
      <c r="CS2278" s="584" t="s">
        <v>1978</v>
      </c>
      <c r="CT2278" s="584" t="s">
        <v>1979</v>
      </c>
      <c r="CU2278" s="584" t="s">
        <v>1892</v>
      </c>
      <c r="CV2278" s="585" t="s">
        <v>1980</v>
      </c>
    </row>
    <row r="2279" spans="91:100" x14ac:dyDescent="0.25">
      <c r="CM2279" s="582"/>
      <c r="CN2279" s="584" t="s">
        <v>6929</v>
      </c>
      <c r="CO2279" s="584" t="s">
        <v>1918</v>
      </c>
      <c r="CP2279" s="584" t="s">
        <v>1888</v>
      </c>
      <c r="CQ2279" s="584" t="s">
        <v>6930</v>
      </c>
      <c r="CR2279" s="584" t="s">
        <v>6930</v>
      </c>
      <c r="CS2279" s="584" t="s">
        <v>1978</v>
      </c>
      <c r="CT2279" s="584" t="s">
        <v>1979</v>
      </c>
      <c r="CU2279" s="584" t="s">
        <v>1892</v>
      </c>
      <c r="CV2279" s="585" t="s">
        <v>1980</v>
      </c>
    </row>
    <row r="2280" spans="91:100" x14ac:dyDescent="0.25">
      <c r="CM2280" s="582"/>
      <c r="CN2280" s="584" t="s">
        <v>6931</v>
      </c>
      <c r="CO2280" s="584" t="s">
        <v>1918</v>
      </c>
      <c r="CP2280" s="584" t="s">
        <v>1888</v>
      </c>
      <c r="CQ2280" s="584" t="s">
        <v>6932</v>
      </c>
      <c r="CR2280" s="584" t="s">
        <v>6932</v>
      </c>
      <c r="CS2280" s="584" t="s">
        <v>1890</v>
      </c>
      <c r="CT2280" s="584" t="s">
        <v>6703</v>
      </c>
      <c r="CU2280" s="584" t="s">
        <v>1892</v>
      </c>
      <c r="CV2280" s="585" t="s">
        <v>1893</v>
      </c>
    </row>
    <row r="2281" spans="91:100" x14ac:dyDescent="0.25">
      <c r="CM2281" s="582"/>
      <c r="CN2281" s="584" t="s">
        <v>6933</v>
      </c>
      <c r="CO2281" s="584" t="s">
        <v>1918</v>
      </c>
      <c r="CP2281" s="584" t="s">
        <v>1888</v>
      </c>
      <c r="CQ2281" s="584" t="s">
        <v>6934</v>
      </c>
      <c r="CR2281" s="584" t="s">
        <v>6934</v>
      </c>
      <c r="CS2281" s="584" t="s">
        <v>1890</v>
      </c>
      <c r="CT2281" s="584" t="s">
        <v>6703</v>
      </c>
      <c r="CU2281" s="584" t="s">
        <v>1892</v>
      </c>
      <c r="CV2281" s="585" t="s">
        <v>1893</v>
      </c>
    </row>
    <row r="2282" spans="91:100" ht="25.5" x14ac:dyDescent="0.25">
      <c r="CM2282" s="582"/>
      <c r="CN2282" s="584" t="s">
        <v>6935</v>
      </c>
      <c r="CO2282" s="584" t="s">
        <v>1918</v>
      </c>
      <c r="CP2282" s="584" t="s">
        <v>1888</v>
      </c>
      <c r="CQ2282" s="584" t="s">
        <v>6936</v>
      </c>
      <c r="CR2282" s="584" t="s">
        <v>6936</v>
      </c>
      <c r="CS2282" s="584" t="s">
        <v>2583</v>
      </c>
      <c r="CT2282" s="584" t="s">
        <v>2584</v>
      </c>
      <c r="CU2282" s="584" t="s">
        <v>2585</v>
      </c>
      <c r="CV2282" s="585" t="s">
        <v>6675</v>
      </c>
    </row>
    <row r="2283" spans="91:100" ht="25.5" x14ac:dyDescent="0.25">
      <c r="CM2283" s="582"/>
      <c r="CN2283" s="584" t="s">
        <v>6937</v>
      </c>
      <c r="CO2283" s="584" t="s">
        <v>1918</v>
      </c>
      <c r="CP2283" s="584" t="s">
        <v>1888</v>
      </c>
      <c r="CQ2283" s="584" t="s">
        <v>6938</v>
      </c>
      <c r="CR2283" s="584" t="s">
        <v>6938</v>
      </c>
      <c r="CS2283" s="584" t="s">
        <v>2583</v>
      </c>
      <c r="CT2283" s="584" t="s">
        <v>2584</v>
      </c>
      <c r="CU2283" s="584" t="s">
        <v>2585</v>
      </c>
      <c r="CV2283" s="585" t="s">
        <v>6675</v>
      </c>
    </row>
    <row r="2284" spans="91:100" ht="25.5" x14ac:dyDescent="0.25">
      <c r="CM2284" s="582"/>
      <c r="CN2284" s="584" t="s">
        <v>6939</v>
      </c>
      <c r="CO2284" s="584" t="s">
        <v>1918</v>
      </c>
      <c r="CP2284" s="584" t="s">
        <v>1888</v>
      </c>
      <c r="CQ2284" s="584" t="s">
        <v>6940</v>
      </c>
      <c r="CR2284" s="584" t="s">
        <v>6940</v>
      </c>
      <c r="CS2284" s="584" t="s">
        <v>2583</v>
      </c>
      <c r="CT2284" s="584" t="s">
        <v>2584</v>
      </c>
      <c r="CU2284" s="584" t="s">
        <v>2585</v>
      </c>
      <c r="CV2284" s="585" t="s">
        <v>6675</v>
      </c>
    </row>
    <row r="2285" spans="91:100" ht="25.5" x14ac:dyDescent="0.25">
      <c r="CM2285" s="582"/>
      <c r="CN2285" s="584" t="s">
        <v>6941</v>
      </c>
      <c r="CO2285" s="584" t="s">
        <v>1918</v>
      </c>
      <c r="CP2285" s="584" t="s">
        <v>1888</v>
      </c>
      <c r="CQ2285" s="584" t="s">
        <v>6942</v>
      </c>
      <c r="CR2285" s="584" t="s">
        <v>6942</v>
      </c>
      <c r="CS2285" s="584" t="s">
        <v>2583</v>
      </c>
      <c r="CT2285" s="584" t="s">
        <v>2584</v>
      </c>
      <c r="CU2285" s="584" t="s">
        <v>2585</v>
      </c>
      <c r="CV2285" s="585" t="s">
        <v>6675</v>
      </c>
    </row>
    <row r="2286" spans="91:100" ht="25.5" x14ac:dyDescent="0.25">
      <c r="CM2286" s="582"/>
      <c r="CN2286" s="584" t="s">
        <v>6943</v>
      </c>
      <c r="CO2286" s="584" t="s">
        <v>1918</v>
      </c>
      <c r="CP2286" s="584" t="s">
        <v>1888</v>
      </c>
      <c r="CQ2286" s="584" t="s">
        <v>6944</v>
      </c>
      <c r="CR2286" s="584" t="s">
        <v>6944</v>
      </c>
      <c r="CS2286" s="584" t="s">
        <v>2583</v>
      </c>
      <c r="CT2286" s="584" t="s">
        <v>2584</v>
      </c>
      <c r="CU2286" s="584" t="s">
        <v>2585</v>
      </c>
      <c r="CV2286" s="585" t="s">
        <v>6675</v>
      </c>
    </row>
    <row r="2287" spans="91:100" ht="25.5" x14ac:dyDescent="0.25">
      <c r="CM2287" s="582"/>
      <c r="CN2287" s="584" t="s">
        <v>6945</v>
      </c>
      <c r="CO2287" s="584" t="s">
        <v>1918</v>
      </c>
      <c r="CP2287" s="584" t="s">
        <v>1888</v>
      </c>
      <c r="CQ2287" s="584" t="s">
        <v>6946</v>
      </c>
      <c r="CR2287" s="584" t="s">
        <v>6946</v>
      </c>
      <c r="CS2287" s="584" t="s">
        <v>2583</v>
      </c>
      <c r="CT2287" s="584" t="s">
        <v>2584</v>
      </c>
      <c r="CU2287" s="584" t="s">
        <v>2585</v>
      </c>
      <c r="CV2287" s="585" t="s">
        <v>6675</v>
      </c>
    </row>
    <row r="2288" spans="91:100" ht="25.5" x14ac:dyDescent="0.25">
      <c r="CM2288" s="582"/>
      <c r="CN2288" s="584" t="s">
        <v>6947</v>
      </c>
      <c r="CO2288" s="584" t="s">
        <v>1918</v>
      </c>
      <c r="CP2288" s="584" t="s">
        <v>1888</v>
      </c>
      <c r="CQ2288" s="584" t="s">
        <v>6948</v>
      </c>
      <c r="CR2288" s="584" t="s">
        <v>6948</v>
      </c>
      <c r="CS2288" s="584" t="s">
        <v>2583</v>
      </c>
      <c r="CT2288" s="584" t="s">
        <v>2584</v>
      </c>
      <c r="CU2288" s="584" t="s">
        <v>2585</v>
      </c>
      <c r="CV2288" s="585" t="s">
        <v>6675</v>
      </c>
    </row>
    <row r="2289" spans="91:100" ht="25.5" x14ac:dyDescent="0.25">
      <c r="CM2289" s="582"/>
      <c r="CN2289" s="584" t="s">
        <v>6949</v>
      </c>
      <c r="CO2289" s="584" t="s">
        <v>1918</v>
      </c>
      <c r="CP2289" s="584" t="s">
        <v>1888</v>
      </c>
      <c r="CQ2289" s="584" t="s">
        <v>6950</v>
      </c>
      <c r="CR2289" s="584" t="s">
        <v>6950</v>
      </c>
      <c r="CS2289" s="584" t="s">
        <v>2583</v>
      </c>
      <c r="CT2289" s="584" t="s">
        <v>2584</v>
      </c>
      <c r="CU2289" s="584" t="s">
        <v>2585</v>
      </c>
      <c r="CV2289" s="585" t="s">
        <v>6675</v>
      </c>
    </row>
    <row r="2290" spans="91:100" ht="25.5" x14ac:dyDescent="0.25">
      <c r="CM2290" s="582"/>
      <c r="CN2290" s="584" t="s">
        <v>6951</v>
      </c>
      <c r="CO2290" s="584" t="s">
        <v>1918</v>
      </c>
      <c r="CP2290" s="584" t="s">
        <v>1888</v>
      </c>
      <c r="CQ2290" s="584" t="s">
        <v>6952</v>
      </c>
      <c r="CR2290" s="584" t="s">
        <v>6952</v>
      </c>
      <c r="CS2290" s="584" t="s">
        <v>2583</v>
      </c>
      <c r="CT2290" s="584" t="s">
        <v>2584</v>
      </c>
      <c r="CU2290" s="584" t="s">
        <v>2585</v>
      </c>
      <c r="CV2290" s="585" t="s">
        <v>6675</v>
      </c>
    </row>
    <row r="2291" spans="91:100" ht="25.5" x14ac:dyDescent="0.25">
      <c r="CM2291" s="582"/>
      <c r="CN2291" s="584" t="s">
        <v>6953</v>
      </c>
      <c r="CO2291" s="584" t="s">
        <v>1918</v>
      </c>
      <c r="CP2291" s="584" t="s">
        <v>1888</v>
      </c>
      <c r="CQ2291" s="584" t="s">
        <v>6954</v>
      </c>
      <c r="CR2291" s="584" t="s">
        <v>6954</v>
      </c>
      <c r="CS2291" s="584" t="s">
        <v>2583</v>
      </c>
      <c r="CT2291" s="584" t="s">
        <v>2584</v>
      </c>
      <c r="CU2291" s="584" t="s">
        <v>2585</v>
      </c>
      <c r="CV2291" s="585" t="s">
        <v>6675</v>
      </c>
    </row>
    <row r="2292" spans="91:100" ht="25.5" x14ac:dyDescent="0.25">
      <c r="CM2292" s="582"/>
      <c r="CN2292" s="584" t="s">
        <v>6955</v>
      </c>
      <c r="CO2292" s="584" t="s">
        <v>1918</v>
      </c>
      <c r="CP2292" s="584" t="s">
        <v>1888</v>
      </c>
      <c r="CQ2292" s="584" t="s">
        <v>6956</v>
      </c>
      <c r="CR2292" s="584" t="s">
        <v>6956</v>
      </c>
      <c r="CS2292" s="584" t="s">
        <v>2583</v>
      </c>
      <c r="CT2292" s="584" t="s">
        <v>2584</v>
      </c>
      <c r="CU2292" s="584" t="s">
        <v>2585</v>
      </c>
      <c r="CV2292" s="585" t="s">
        <v>6675</v>
      </c>
    </row>
    <row r="2293" spans="91:100" x14ac:dyDescent="0.25">
      <c r="CM2293" s="582"/>
      <c r="CN2293" s="584" t="s">
        <v>6957</v>
      </c>
      <c r="CO2293" s="584" t="s">
        <v>1918</v>
      </c>
      <c r="CP2293" s="584" t="s">
        <v>1888</v>
      </c>
      <c r="CQ2293" s="584" t="s">
        <v>6958</v>
      </c>
      <c r="CR2293" s="584" t="s">
        <v>6958</v>
      </c>
      <c r="CS2293" s="584" t="s">
        <v>1890</v>
      </c>
      <c r="CT2293" s="584" t="s">
        <v>6703</v>
      </c>
      <c r="CU2293" s="584" t="s">
        <v>1892</v>
      </c>
      <c r="CV2293" s="585" t="s">
        <v>1893</v>
      </c>
    </row>
    <row r="2294" spans="91:100" ht="25.5" x14ac:dyDescent="0.25">
      <c r="CM2294" s="582"/>
      <c r="CN2294" s="584" t="s">
        <v>6959</v>
      </c>
      <c r="CO2294" s="584" t="s">
        <v>1918</v>
      </c>
      <c r="CP2294" s="584" t="s">
        <v>1888</v>
      </c>
      <c r="CQ2294" s="584" t="s">
        <v>6960</v>
      </c>
      <c r="CR2294" s="584" t="s">
        <v>6960</v>
      </c>
      <c r="CS2294" s="584" t="s">
        <v>2583</v>
      </c>
      <c r="CT2294" s="584" t="s">
        <v>2584</v>
      </c>
      <c r="CU2294" s="584" t="s">
        <v>2585</v>
      </c>
      <c r="CV2294" s="585" t="s">
        <v>6675</v>
      </c>
    </row>
    <row r="2295" spans="91:100" x14ac:dyDescent="0.25">
      <c r="CM2295" s="582"/>
      <c r="CN2295" s="584" t="s">
        <v>6961</v>
      </c>
      <c r="CO2295" s="584" t="s">
        <v>1918</v>
      </c>
      <c r="CP2295" s="584" t="s">
        <v>1888</v>
      </c>
      <c r="CQ2295" s="584" t="s">
        <v>6962</v>
      </c>
      <c r="CR2295" s="584" t="s">
        <v>6962</v>
      </c>
      <c r="CS2295" s="584" t="s">
        <v>1978</v>
      </c>
      <c r="CT2295" s="584" t="s">
        <v>1979</v>
      </c>
      <c r="CU2295" s="584" t="s">
        <v>1892</v>
      </c>
      <c r="CV2295" s="585" t="s">
        <v>1980</v>
      </c>
    </row>
    <row r="2296" spans="91:100" x14ac:dyDescent="0.25">
      <c r="CM2296" s="582"/>
      <c r="CN2296" s="584" t="s">
        <v>6963</v>
      </c>
      <c r="CO2296" s="584" t="s">
        <v>1918</v>
      </c>
      <c r="CP2296" s="584" t="s">
        <v>1888</v>
      </c>
      <c r="CQ2296" s="584" t="s">
        <v>6964</v>
      </c>
      <c r="CR2296" s="584" t="s">
        <v>6964</v>
      </c>
      <c r="CS2296" s="584" t="s">
        <v>1978</v>
      </c>
      <c r="CT2296" s="584" t="s">
        <v>1979</v>
      </c>
      <c r="CU2296" s="584" t="s">
        <v>1892</v>
      </c>
      <c r="CV2296" s="585" t="s">
        <v>1980</v>
      </c>
    </row>
    <row r="2297" spans="91:100" ht="25.5" x14ac:dyDescent="0.25">
      <c r="CM2297" s="582"/>
      <c r="CN2297" s="584" t="s">
        <v>6965</v>
      </c>
      <c r="CO2297" s="584" t="s">
        <v>1918</v>
      </c>
      <c r="CP2297" s="584" t="s">
        <v>1888</v>
      </c>
      <c r="CQ2297" s="584" t="s">
        <v>6966</v>
      </c>
      <c r="CR2297" s="584" t="s">
        <v>6966</v>
      </c>
      <c r="CS2297" s="584" t="s">
        <v>2583</v>
      </c>
      <c r="CT2297" s="584" t="s">
        <v>2584</v>
      </c>
      <c r="CU2297" s="584" t="s">
        <v>2585</v>
      </c>
      <c r="CV2297" s="585" t="s">
        <v>6675</v>
      </c>
    </row>
    <row r="2298" spans="91:100" ht="25.5" x14ac:dyDescent="0.25">
      <c r="CM2298" s="582"/>
      <c r="CN2298" s="584" t="s">
        <v>6967</v>
      </c>
      <c r="CO2298" s="584" t="s">
        <v>1918</v>
      </c>
      <c r="CP2298" s="584" t="s">
        <v>1888</v>
      </c>
      <c r="CQ2298" s="584" t="s">
        <v>6968</v>
      </c>
      <c r="CR2298" s="584" t="s">
        <v>6968</v>
      </c>
      <c r="CS2298" s="584" t="s">
        <v>2583</v>
      </c>
      <c r="CT2298" s="584" t="s">
        <v>2584</v>
      </c>
      <c r="CU2298" s="584" t="s">
        <v>2585</v>
      </c>
      <c r="CV2298" s="585" t="s">
        <v>6675</v>
      </c>
    </row>
    <row r="2299" spans="91:100" ht="25.5" x14ac:dyDescent="0.25">
      <c r="CM2299" s="582"/>
      <c r="CN2299" s="584" t="s">
        <v>6969</v>
      </c>
      <c r="CO2299" s="584" t="s">
        <v>1918</v>
      </c>
      <c r="CP2299" s="584" t="s">
        <v>1888</v>
      </c>
      <c r="CQ2299" s="584" t="s">
        <v>6970</v>
      </c>
      <c r="CR2299" s="584" t="s">
        <v>6970</v>
      </c>
      <c r="CS2299" s="584" t="s">
        <v>2583</v>
      </c>
      <c r="CT2299" s="584" t="s">
        <v>2584</v>
      </c>
      <c r="CU2299" s="584" t="s">
        <v>2585</v>
      </c>
      <c r="CV2299" s="585" t="s">
        <v>6675</v>
      </c>
    </row>
    <row r="2300" spans="91:100" ht="25.5" x14ac:dyDescent="0.25">
      <c r="CM2300" s="582"/>
      <c r="CN2300" s="584" t="s">
        <v>6971</v>
      </c>
      <c r="CO2300" s="584" t="s">
        <v>1918</v>
      </c>
      <c r="CP2300" s="584" t="s">
        <v>1888</v>
      </c>
      <c r="CQ2300" s="584" t="s">
        <v>6972</v>
      </c>
      <c r="CR2300" s="584" t="s">
        <v>6972</v>
      </c>
      <c r="CS2300" s="584" t="s">
        <v>2583</v>
      </c>
      <c r="CT2300" s="584" t="s">
        <v>2584</v>
      </c>
      <c r="CU2300" s="584" t="s">
        <v>2585</v>
      </c>
      <c r="CV2300" s="585" t="s">
        <v>6675</v>
      </c>
    </row>
    <row r="2301" spans="91:100" ht="25.5" x14ac:dyDescent="0.25">
      <c r="CM2301" s="582"/>
      <c r="CN2301" s="584" t="s">
        <v>6973</v>
      </c>
      <c r="CO2301" s="584" t="s">
        <v>1918</v>
      </c>
      <c r="CP2301" s="584" t="s">
        <v>1888</v>
      </c>
      <c r="CQ2301" s="584" t="s">
        <v>6974</v>
      </c>
      <c r="CR2301" s="584" t="s">
        <v>6974</v>
      </c>
      <c r="CS2301" s="584" t="s">
        <v>2583</v>
      </c>
      <c r="CT2301" s="584" t="s">
        <v>2584</v>
      </c>
      <c r="CU2301" s="584" t="s">
        <v>2585</v>
      </c>
      <c r="CV2301" s="585" t="s">
        <v>6675</v>
      </c>
    </row>
    <row r="2302" spans="91:100" x14ac:dyDescent="0.25">
      <c r="CM2302" s="582"/>
      <c r="CN2302" s="584" t="s">
        <v>6975</v>
      </c>
      <c r="CO2302" s="584" t="s">
        <v>1918</v>
      </c>
      <c r="CP2302" s="584" t="s">
        <v>1888</v>
      </c>
      <c r="CQ2302" s="584" t="s">
        <v>6241</v>
      </c>
      <c r="CR2302" s="584" t="s">
        <v>6241</v>
      </c>
      <c r="CS2302" s="584" t="s">
        <v>1890</v>
      </c>
      <c r="CT2302" s="584" t="s">
        <v>6703</v>
      </c>
      <c r="CU2302" s="584" t="s">
        <v>1892</v>
      </c>
      <c r="CV2302" s="585" t="s">
        <v>1893</v>
      </c>
    </row>
    <row r="2303" spans="91:100" x14ac:dyDescent="0.25">
      <c r="CM2303" s="582"/>
      <c r="CN2303" s="584" t="s">
        <v>6976</v>
      </c>
      <c r="CO2303" s="584" t="s">
        <v>1918</v>
      </c>
      <c r="CP2303" s="584" t="s">
        <v>1888</v>
      </c>
      <c r="CQ2303" s="584" t="s">
        <v>6243</v>
      </c>
      <c r="CR2303" s="584" t="s">
        <v>6243</v>
      </c>
      <c r="CS2303" s="584" t="s">
        <v>1890</v>
      </c>
      <c r="CT2303" s="584" t="s">
        <v>6703</v>
      </c>
      <c r="CU2303" s="584" t="s">
        <v>1892</v>
      </c>
      <c r="CV2303" s="585" t="s">
        <v>1893</v>
      </c>
    </row>
    <row r="2304" spans="91:100" x14ac:dyDescent="0.25">
      <c r="CM2304" s="582"/>
      <c r="CN2304" s="584" t="s">
        <v>6977</v>
      </c>
      <c r="CO2304" s="584" t="s">
        <v>1918</v>
      </c>
      <c r="CP2304" s="584" t="s">
        <v>1888</v>
      </c>
      <c r="CQ2304" s="584" t="s">
        <v>6978</v>
      </c>
      <c r="CR2304" s="584" t="s">
        <v>6978</v>
      </c>
      <c r="CS2304" s="584" t="s">
        <v>1890</v>
      </c>
      <c r="CT2304" s="584" t="s">
        <v>6703</v>
      </c>
      <c r="CU2304" s="584" t="s">
        <v>1892</v>
      </c>
      <c r="CV2304" s="585" t="s">
        <v>1893</v>
      </c>
    </row>
    <row r="2305" spans="91:100" ht="25.5" x14ac:dyDescent="0.25">
      <c r="CM2305" s="582"/>
      <c r="CN2305" s="584" t="s">
        <v>6979</v>
      </c>
      <c r="CO2305" s="584" t="s">
        <v>1918</v>
      </c>
      <c r="CP2305" s="584" t="s">
        <v>1888</v>
      </c>
      <c r="CQ2305" s="584" t="s">
        <v>6980</v>
      </c>
      <c r="CR2305" s="584" t="s">
        <v>6980</v>
      </c>
      <c r="CS2305" s="584" t="s">
        <v>2583</v>
      </c>
      <c r="CT2305" s="584" t="s">
        <v>2584</v>
      </c>
      <c r="CU2305" s="584" t="s">
        <v>2585</v>
      </c>
      <c r="CV2305" s="585" t="s">
        <v>6675</v>
      </c>
    </row>
    <row r="2306" spans="91:100" ht="25.5" x14ac:dyDescent="0.25">
      <c r="CM2306" s="582"/>
      <c r="CN2306" s="584" t="s">
        <v>6981</v>
      </c>
      <c r="CO2306" s="584" t="s">
        <v>1918</v>
      </c>
      <c r="CP2306" s="584" t="s">
        <v>1888</v>
      </c>
      <c r="CQ2306" s="584" t="s">
        <v>6982</v>
      </c>
      <c r="CR2306" s="584" t="s">
        <v>6982</v>
      </c>
      <c r="CS2306" s="584" t="s">
        <v>2583</v>
      </c>
      <c r="CT2306" s="584" t="s">
        <v>2584</v>
      </c>
      <c r="CU2306" s="584" t="s">
        <v>2585</v>
      </c>
      <c r="CV2306" s="585" t="s">
        <v>6675</v>
      </c>
    </row>
    <row r="2307" spans="91:100" ht="25.5" x14ac:dyDescent="0.25">
      <c r="CM2307" s="582"/>
      <c r="CN2307" s="584" t="s">
        <v>6983</v>
      </c>
      <c r="CO2307" s="584" t="s">
        <v>1918</v>
      </c>
      <c r="CP2307" s="584" t="s">
        <v>1888</v>
      </c>
      <c r="CQ2307" s="584" t="s">
        <v>6984</v>
      </c>
      <c r="CR2307" s="584" t="s">
        <v>6984</v>
      </c>
      <c r="CS2307" s="584" t="s">
        <v>2583</v>
      </c>
      <c r="CT2307" s="584" t="s">
        <v>2584</v>
      </c>
      <c r="CU2307" s="584" t="s">
        <v>2585</v>
      </c>
      <c r="CV2307" s="585" t="s">
        <v>6675</v>
      </c>
    </row>
    <row r="2308" spans="91:100" ht="25.5" x14ac:dyDescent="0.25">
      <c r="CM2308" s="582"/>
      <c r="CN2308" s="584" t="s">
        <v>6985</v>
      </c>
      <c r="CO2308" s="584" t="s">
        <v>1918</v>
      </c>
      <c r="CP2308" s="584" t="s">
        <v>1888</v>
      </c>
      <c r="CQ2308" s="584" t="s">
        <v>6986</v>
      </c>
      <c r="CR2308" s="584" t="s">
        <v>6986</v>
      </c>
      <c r="CS2308" s="584" t="s">
        <v>2583</v>
      </c>
      <c r="CT2308" s="584" t="s">
        <v>2584</v>
      </c>
      <c r="CU2308" s="584" t="s">
        <v>2585</v>
      </c>
      <c r="CV2308" s="585" t="s">
        <v>6675</v>
      </c>
    </row>
    <row r="2309" spans="91:100" ht="25.5" x14ac:dyDescent="0.25">
      <c r="CM2309" s="582"/>
      <c r="CN2309" s="584" t="s">
        <v>6987</v>
      </c>
      <c r="CO2309" s="584" t="s">
        <v>1918</v>
      </c>
      <c r="CP2309" s="584" t="s">
        <v>1888</v>
      </c>
      <c r="CQ2309" s="584" t="s">
        <v>6988</v>
      </c>
      <c r="CR2309" s="584" t="s">
        <v>6988</v>
      </c>
      <c r="CS2309" s="584" t="s">
        <v>2583</v>
      </c>
      <c r="CT2309" s="584" t="s">
        <v>2584</v>
      </c>
      <c r="CU2309" s="584" t="s">
        <v>2585</v>
      </c>
      <c r="CV2309" s="585" t="s">
        <v>6675</v>
      </c>
    </row>
    <row r="2310" spans="91:100" x14ac:dyDescent="0.25">
      <c r="CM2310" s="582"/>
      <c r="CN2310" s="584" t="s">
        <v>6989</v>
      </c>
      <c r="CO2310" s="584" t="s">
        <v>1918</v>
      </c>
      <c r="CP2310" s="584" t="s">
        <v>1888</v>
      </c>
      <c r="CQ2310" s="584" t="s">
        <v>6990</v>
      </c>
      <c r="CR2310" s="584" t="s">
        <v>6990</v>
      </c>
      <c r="CS2310" s="584" t="s">
        <v>1890</v>
      </c>
      <c r="CT2310" s="584" t="s">
        <v>6703</v>
      </c>
      <c r="CU2310" s="584" t="s">
        <v>1892</v>
      </c>
      <c r="CV2310" s="585" t="s">
        <v>1893</v>
      </c>
    </row>
    <row r="2311" spans="91:100" ht="25.5" x14ac:dyDescent="0.25">
      <c r="CM2311" s="582"/>
      <c r="CN2311" s="584" t="s">
        <v>6991</v>
      </c>
      <c r="CO2311" s="584" t="s">
        <v>1918</v>
      </c>
      <c r="CP2311" s="584" t="s">
        <v>1888</v>
      </c>
      <c r="CQ2311" s="584" t="s">
        <v>6992</v>
      </c>
      <c r="CR2311" s="584" t="s">
        <v>6992</v>
      </c>
      <c r="CS2311" s="584" t="s">
        <v>2583</v>
      </c>
      <c r="CT2311" s="584" t="s">
        <v>2584</v>
      </c>
      <c r="CU2311" s="584" t="s">
        <v>2585</v>
      </c>
      <c r="CV2311" s="585" t="s">
        <v>6675</v>
      </c>
    </row>
    <row r="2312" spans="91:100" ht="25.5" x14ac:dyDescent="0.25">
      <c r="CM2312" s="582"/>
      <c r="CN2312" s="584" t="s">
        <v>6993</v>
      </c>
      <c r="CO2312" s="584" t="s">
        <v>1918</v>
      </c>
      <c r="CP2312" s="584" t="s">
        <v>1888</v>
      </c>
      <c r="CQ2312" s="584" t="s">
        <v>6994</v>
      </c>
      <c r="CR2312" s="584" t="s">
        <v>6994</v>
      </c>
      <c r="CS2312" s="584" t="s">
        <v>2583</v>
      </c>
      <c r="CT2312" s="584" t="s">
        <v>2584</v>
      </c>
      <c r="CU2312" s="584" t="s">
        <v>2585</v>
      </c>
      <c r="CV2312" s="585" t="s">
        <v>6675</v>
      </c>
    </row>
    <row r="2313" spans="91:100" x14ac:dyDescent="0.25">
      <c r="CM2313" s="582"/>
      <c r="CN2313" s="584" t="s">
        <v>6995</v>
      </c>
      <c r="CO2313" s="584" t="s">
        <v>1918</v>
      </c>
      <c r="CP2313" s="584" t="s">
        <v>1888</v>
      </c>
      <c r="CQ2313" s="584" t="s">
        <v>6996</v>
      </c>
      <c r="CR2313" s="584" t="s">
        <v>6996</v>
      </c>
      <c r="CS2313" s="584" t="s">
        <v>1978</v>
      </c>
      <c r="CT2313" s="584" t="s">
        <v>1979</v>
      </c>
      <c r="CU2313" s="584" t="s">
        <v>1892</v>
      </c>
      <c r="CV2313" s="585" t="s">
        <v>1980</v>
      </c>
    </row>
    <row r="2314" spans="91:100" x14ac:dyDescent="0.25">
      <c r="CM2314" s="582"/>
      <c r="CN2314" s="584" t="s">
        <v>6997</v>
      </c>
      <c r="CO2314" s="584" t="s">
        <v>1918</v>
      </c>
      <c r="CP2314" s="584" t="s">
        <v>1888</v>
      </c>
      <c r="CQ2314" s="584" t="s">
        <v>6998</v>
      </c>
      <c r="CR2314" s="584" t="s">
        <v>6998</v>
      </c>
      <c r="CS2314" s="584" t="s">
        <v>1978</v>
      </c>
      <c r="CT2314" s="584" t="s">
        <v>1979</v>
      </c>
      <c r="CU2314" s="584" t="s">
        <v>1892</v>
      </c>
      <c r="CV2314" s="585" t="s">
        <v>1980</v>
      </c>
    </row>
    <row r="2315" spans="91:100" ht="25.5" x14ac:dyDescent="0.25">
      <c r="CM2315" s="582"/>
      <c r="CN2315" s="584" t="s">
        <v>6999</v>
      </c>
      <c r="CO2315" s="584" t="s">
        <v>1918</v>
      </c>
      <c r="CP2315" s="584" t="s">
        <v>1888</v>
      </c>
      <c r="CQ2315" s="584" t="s">
        <v>7000</v>
      </c>
      <c r="CR2315" s="584" t="s">
        <v>7000</v>
      </c>
      <c r="CS2315" s="584" t="s">
        <v>2583</v>
      </c>
      <c r="CT2315" s="584" t="s">
        <v>2584</v>
      </c>
      <c r="CU2315" s="584" t="s">
        <v>2585</v>
      </c>
      <c r="CV2315" s="585" t="s">
        <v>6675</v>
      </c>
    </row>
    <row r="2316" spans="91:100" ht="25.5" x14ac:dyDescent="0.25">
      <c r="CM2316" s="582"/>
      <c r="CN2316" s="584" t="s">
        <v>7001</v>
      </c>
      <c r="CO2316" s="584" t="s">
        <v>1918</v>
      </c>
      <c r="CP2316" s="584" t="s">
        <v>1888</v>
      </c>
      <c r="CQ2316" s="584" t="s">
        <v>7002</v>
      </c>
      <c r="CR2316" s="584" t="s">
        <v>7002</v>
      </c>
      <c r="CS2316" s="584" t="s">
        <v>2583</v>
      </c>
      <c r="CT2316" s="584" t="s">
        <v>2584</v>
      </c>
      <c r="CU2316" s="584" t="s">
        <v>2585</v>
      </c>
      <c r="CV2316" s="585" t="s">
        <v>6675</v>
      </c>
    </row>
    <row r="2317" spans="91:100" ht="25.5" x14ac:dyDescent="0.25">
      <c r="CM2317" s="582"/>
      <c r="CN2317" s="584" t="s">
        <v>7003</v>
      </c>
      <c r="CO2317" s="584" t="s">
        <v>1918</v>
      </c>
      <c r="CP2317" s="584" t="s">
        <v>1888</v>
      </c>
      <c r="CQ2317" s="584" t="s">
        <v>7004</v>
      </c>
      <c r="CR2317" s="584" t="s">
        <v>7004</v>
      </c>
      <c r="CS2317" s="584" t="s">
        <v>2583</v>
      </c>
      <c r="CT2317" s="584" t="s">
        <v>2584</v>
      </c>
      <c r="CU2317" s="584" t="s">
        <v>2585</v>
      </c>
      <c r="CV2317" s="585" t="s">
        <v>6675</v>
      </c>
    </row>
    <row r="2318" spans="91:100" ht="25.5" x14ac:dyDescent="0.25">
      <c r="CM2318" s="582"/>
      <c r="CN2318" s="584" t="s">
        <v>7005</v>
      </c>
      <c r="CO2318" s="584" t="s">
        <v>1918</v>
      </c>
      <c r="CP2318" s="584" t="s">
        <v>1888</v>
      </c>
      <c r="CQ2318" s="584" t="s">
        <v>7006</v>
      </c>
      <c r="CR2318" s="584" t="s">
        <v>7006</v>
      </c>
      <c r="CS2318" s="584" t="s">
        <v>2583</v>
      </c>
      <c r="CT2318" s="584" t="s">
        <v>2584</v>
      </c>
      <c r="CU2318" s="584" t="s">
        <v>2585</v>
      </c>
      <c r="CV2318" s="585" t="s">
        <v>6675</v>
      </c>
    </row>
    <row r="2319" spans="91:100" ht="25.5" x14ac:dyDescent="0.25">
      <c r="CM2319" s="582"/>
      <c r="CN2319" s="584" t="s">
        <v>7007</v>
      </c>
      <c r="CO2319" s="584" t="s">
        <v>1918</v>
      </c>
      <c r="CP2319" s="584" t="s">
        <v>1888</v>
      </c>
      <c r="CQ2319" s="584" t="s">
        <v>7008</v>
      </c>
      <c r="CR2319" s="584" t="s">
        <v>7008</v>
      </c>
      <c r="CS2319" s="584" t="s">
        <v>2583</v>
      </c>
      <c r="CT2319" s="584" t="s">
        <v>2584</v>
      </c>
      <c r="CU2319" s="584" t="s">
        <v>2585</v>
      </c>
      <c r="CV2319" s="585" t="s">
        <v>6675</v>
      </c>
    </row>
    <row r="2320" spans="91:100" ht="25.5" x14ac:dyDescent="0.25">
      <c r="CM2320" s="582"/>
      <c r="CN2320" s="584" t="s">
        <v>7009</v>
      </c>
      <c r="CO2320" s="584" t="s">
        <v>1918</v>
      </c>
      <c r="CP2320" s="584" t="s">
        <v>1888</v>
      </c>
      <c r="CQ2320" s="584" t="s">
        <v>7010</v>
      </c>
      <c r="CR2320" s="584" t="s">
        <v>7010</v>
      </c>
      <c r="CS2320" s="584" t="s">
        <v>2583</v>
      </c>
      <c r="CT2320" s="584" t="s">
        <v>2584</v>
      </c>
      <c r="CU2320" s="584" t="s">
        <v>2585</v>
      </c>
      <c r="CV2320" s="585" t="s">
        <v>6675</v>
      </c>
    </row>
    <row r="2321" spans="91:100" ht="25.5" x14ac:dyDescent="0.25">
      <c r="CM2321" s="582"/>
      <c r="CN2321" s="584" t="s">
        <v>7011</v>
      </c>
      <c r="CO2321" s="584" t="s">
        <v>1918</v>
      </c>
      <c r="CP2321" s="584" t="s">
        <v>1888</v>
      </c>
      <c r="CQ2321" s="584" t="s">
        <v>7012</v>
      </c>
      <c r="CR2321" s="584" t="s">
        <v>7012</v>
      </c>
      <c r="CS2321" s="584" t="s">
        <v>2583</v>
      </c>
      <c r="CT2321" s="584" t="s">
        <v>2584</v>
      </c>
      <c r="CU2321" s="584" t="s">
        <v>2585</v>
      </c>
      <c r="CV2321" s="585" t="s">
        <v>6675</v>
      </c>
    </row>
    <row r="2322" spans="91:100" ht="25.5" x14ac:dyDescent="0.25">
      <c r="CM2322" s="582"/>
      <c r="CN2322" s="584" t="s">
        <v>7013</v>
      </c>
      <c r="CO2322" s="584" t="s">
        <v>1918</v>
      </c>
      <c r="CP2322" s="584" t="s">
        <v>1888</v>
      </c>
      <c r="CQ2322" s="584" t="s">
        <v>7014</v>
      </c>
      <c r="CR2322" s="584" t="s">
        <v>7014</v>
      </c>
      <c r="CS2322" s="584" t="s">
        <v>2583</v>
      </c>
      <c r="CT2322" s="584" t="s">
        <v>2584</v>
      </c>
      <c r="CU2322" s="584" t="s">
        <v>2585</v>
      </c>
      <c r="CV2322" s="585" t="s">
        <v>6675</v>
      </c>
    </row>
    <row r="2323" spans="91:100" ht="25.5" x14ac:dyDescent="0.25">
      <c r="CM2323" s="582"/>
      <c r="CN2323" s="584" t="s">
        <v>7015</v>
      </c>
      <c r="CO2323" s="584" t="s">
        <v>1918</v>
      </c>
      <c r="CP2323" s="584" t="s">
        <v>1888</v>
      </c>
      <c r="CQ2323" s="584" t="s">
        <v>7016</v>
      </c>
      <c r="CR2323" s="584" t="s">
        <v>7016</v>
      </c>
      <c r="CS2323" s="584" t="s">
        <v>2583</v>
      </c>
      <c r="CT2323" s="584" t="s">
        <v>2584</v>
      </c>
      <c r="CU2323" s="584" t="s">
        <v>2585</v>
      </c>
      <c r="CV2323" s="585" t="s">
        <v>6675</v>
      </c>
    </row>
    <row r="2324" spans="91:100" x14ac:dyDescent="0.25">
      <c r="CM2324" s="582"/>
      <c r="CN2324" s="584" t="s">
        <v>7017</v>
      </c>
      <c r="CO2324" s="584" t="s">
        <v>1918</v>
      </c>
      <c r="CP2324" s="584" t="s">
        <v>1888</v>
      </c>
      <c r="CQ2324" s="584" t="s">
        <v>7018</v>
      </c>
      <c r="CR2324" s="584" t="s">
        <v>7018</v>
      </c>
      <c r="CS2324" s="584" t="s">
        <v>1890</v>
      </c>
      <c r="CT2324" s="584" t="s">
        <v>6703</v>
      </c>
      <c r="CU2324" s="584" t="s">
        <v>1892</v>
      </c>
      <c r="CV2324" s="585" t="s">
        <v>1893</v>
      </c>
    </row>
    <row r="2325" spans="91:100" ht="25.5" x14ac:dyDescent="0.25">
      <c r="CM2325" s="582"/>
      <c r="CN2325" s="584" t="s">
        <v>7019</v>
      </c>
      <c r="CO2325" s="584" t="s">
        <v>1918</v>
      </c>
      <c r="CP2325" s="584" t="s">
        <v>1888</v>
      </c>
      <c r="CQ2325" s="584" t="s">
        <v>7020</v>
      </c>
      <c r="CR2325" s="584" t="s">
        <v>7020</v>
      </c>
      <c r="CS2325" s="584" t="s">
        <v>2583</v>
      </c>
      <c r="CT2325" s="584" t="s">
        <v>2584</v>
      </c>
      <c r="CU2325" s="584" t="s">
        <v>2585</v>
      </c>
      <c r="CV2325" s="585" t="s">
        <v>6675</v>
      </c>
    </row>
    <row r="2326" spans="91:100" ht="25.5" x14ac:dyDescent="0.25">
      <c r="CM2326" s="582"/>
      <c r="CN2326" s="584" t="s">
        <v>7021</v>
      </c>
      <c r="CO2326" s="584" t="s">
        <v>1918</v>
      </c>
      <c r="CP2326" s="584" t="s">
        <v>1888</v>
      </c>
      <c r="CQ2326" s="584" t="s">
        <v>7022</v>
      </c>
      <c r="CR2326" s="584" t="s">
        <v>7022</v>
      </c>
      <c r="CS2326" s="584" t="s">
        <v>2583</v>
      </c>
      <c r="CT2326" s="584" t="s">
        <v>2584</v>
      </c>
      <c r="CU2326" s="584" t="s">
        <v>2585</v>
      </c>
      <c r="CV2326" s="585" t="s">
        <v>6675</v>
      </c>
    </row>
    <row r="2327" spans="91:100" ht="25.5" x14ac:dyDescent="0.25">
      <c r="CM2327" s="582"/>
      <c r="CN2327" s="584" t="s">
        <v>7023</v>
      </c>
      <c r="CO2327" s="584" t="s">
        <v>1918</v>
      </c>
      <c r="CP2327" s="584" t="s">
        <v>1888</v>
      </c>
      <c r="CQ2327" s="584" t="s">
        <v>7024</v>
      </c>
      <c r="CR2327" s="584" t="s">
        <v>7024</v>
      </c>
      <c r="CS2327" s="584" t="s">
        <v>2583</v>
      </c>
      <c r="CT2327" s="584" t="s">
        <v>2584</v>
      </c>
      <c r="CU2327" s="584" t="s">
        <v>2585</v>
      </c>
      <c r="CV2327" s="585" t="s">
        <v>6675</v>
      </c>
    </row>
    <row r="2328" spans="91:100" ht="25.5" x14ac:dyDescent="0.25">
      <c r="CM2328" s="582"/>
      <c r="CN2328" s="584" t="s">
        <v>7025</v>
      </c>
      <c r="CO2328" s="584" t="s">
        <v>1918</v>
      </c>
      <c r="CP2328" s="584" t="s">
        <v>1888</v>
      </c>
      <c r="CQ2328" s="584" t="s">
        <v>7026</v>
      </c>
      <c r="CR2328" s="584" t="s">
        <v>7026</v>
      </c>
      <c r="CS2328" s="584" t="s">
        <v>2583</v>
      </c>
      <c r="CT2328" s="584" t="s">
        <v>2584</v>
      </c>
      <c r="CU2328" s="584" t="s">
        <v>2585</v>
      </c>
      <c r="CV2328" s="585" t="s">
        <v>6675</v>
      </c>
    </row>
    <row r="2329" spans="91:100" x14ac:dyDescent="0.25">
      <c r="CM2329" s="582"/>
      <c r="CN2329" s="584" t="s">
        <v>7027</v>
      </c>
      <c r="CO2329" s="584" t="s">
        <v>1918</v>
      </c>
      <c r="CP2329" s="584" t="s">
        <v>1888</v>
      </c>
      <c r="CQ2329" s="584" t="s">
        <v>7028</v>
      </c>
      <c r="CR2329" s="584" t="s">
        <v>7029</v>
      </c>
      <c r="CS2329" s="584" t="s">
        <v>1890</v>
      </c>
      <c r="CT2329" s="584" t="s">
        <v>6703</v>
      </c>
      <c r="CU2329" s="584" t="s">
        <v>1892</v>
      </c>
      <c r="CV2329" s="585" t="s">
        <v>1893</v>
      </c>
    </row>
    <row r="2330" spans="91:100" x14ac:dyDescent="0.25">
      <c r="CM2330" s="582"/>
      <c r="CN2330" s="584" t="s">
        <v>7030</v>
      </c>
      <c r="CO2330" s="584" t="s">
        <v>1918</v>
      </c>
      <c r="CP2330" s="584" t="s">
        <v>1888</v>
      </c>
      <c r="CQ2330" s="584" t="s">
        <v>7031</v>
      </c>
      <c r="CR2330" s="584" t="s">
        <v>7032</v>
      </c>
      <c r="CS2330" s="584" t="s">
        <v>1890</v>
      </c>
      <c r="CT2330" s="584" t="s">
        <v>6703</v>
      </c>
      <c r="CU2330" s="584" t="s">
        <v>1892</v>
      </c>
      <c r="CV2330" s="585" t="s">
        <v>1893</v>
      </c>
    </row>
    <row r="2331" spans="91:100" ht="25.5" x14ac:dyDescent="0.25">
      <c r="CM2331" s="582"/>
      <c r="CN2331" s="584" t="s">
        <v>7033</v>
      </c>
      <c r="CO2331" s="584" t="s">
        <v>1918</v>
      </c>
      <c r="CP2331" s="584" t="s">
        <v>1888</v>
      </c>
      <c r="CQ2331" s="584" t="s">
        <v>7034</v>
      </c>
      <c r="CR2331" s="584" t="s">
        <v>7034</v>
      </c>
      <c r="CS2331" s="584" t="s">
        <v>2583</v>
      </c>
      <c r="CT2331" s="584" t="s">
        <v>2584</v>
      </c>
      <c r="CU2331" s="584" t="s">
        <v>2585</v>
      </c>
      <c r="CV2331" s="585" t="s">
        <v>6675</v>
      </c>
    </row>
    <row r="2332" spans="91:100" ht="25.5" x14ac:dyDescent="0.25">
      <c r="CM2332" s="582"/>
      <c r="CN2332" s="584" t="s">
        <v>7035</v>
      </c>
      <c r="CO2332" s="584" t="s">
        <v>1918</v>
      </c>
      <c r="CP2332" s="584" t="s">
        <v>1888</v>
      </c>
      <c r="CQ2332" s="584" t="s">
        <v>7036</v>
      </c>
      <c r="CR2332" s="584" t="s">
        <v>7036</v>
      </c>
      <c r="CS2332" s="584" t="s">
        <v>2583</v>
      </c>
      <c r="CT2332" s="584" t="s">
        <v>2584</v>
      </c>
      <c r="CU2332" s="584" t="s">
        <v>2585</v>
      </c>
      <c r="CV2332" s="585" t="s">
        <v>6675</v>
      </c>
    </row>
    <row r="2333" spans="91:100" ht="25.5" x14ac:dyDescent="0.25">
      <c r="CM2333" s="582"/>
      <c r="CN2333" s="584" t="s">
        <v>7037</v>
      </c>
      <c r="CO2333" s="584" t="s">
        <v>1918</v>
      </c>
      <c r="CP2333" s="584" t="s">
        <v>1888</v>
      </c>
      <c r="CQ2333" s="584" t="s">
        <v>7038</v>
      </c>
      <c r="CR2333" s="584" t="s">
        <v>7038</v>
      </c>
      <c r="CS2333" s="584" t="s">
        <v>2583</v>
      </c>
      <c r="CT2333" s="584" t="s">
        <v>2584</v>
      </c>
      <c r="CU2333" s="584" t="s">
        <v>2585</v>
      </c>
      <c r="CV2333" s="585" t="s">
        <v>6675</v>
      </c>
    </row>
    <row r="2334" spans="91:100" x14ac:dyDescent="0.25">
      <c r="CM2334" s="582"/>
      <c r="CN2334" s="584" t="s">
        <v>7039</v>
      </c>
      <c r="CO2334" s="584" t="s">
        <v>1918</v>
      </c>
      <c r="CP2334" s="584" t="s">
        <v>1888</v>
      </c>
      <c r="CQ2334" s="584" t="s">
        <v>7040</v>
      </c>
      <c r="CR2334" s="584" t="s">
        <v>7040</v>
      </c>
      <c r="CS2334" s="584" t="s">
        <v>1890</v>
      </c>
      <c r="CT2334" s="584" t="s">
        <v>6703</v>
      </c>
      <c r="CU2334" s="584" t="s">
        <v>1892</v>
      </c>
      <c r="CV2334" s="585" t="s">
        <v>1893</v>
      </c>
    </row>
    <row r="2335" spans="91:100" ht="25.5" x14ac:dyDescent="0.25">
      <c r="CM2335" s="582"/>
      <c r="CN2335" s="584" t="s">
        <v>7041</v>
      </c>
      <c r="CO2335" s="584" t="s">
        <v>1918</v>
      </c>
      <c r="CP2335" s="584" t="s">
        <v>1888</v>
      </c>
      <c r="CQ2335" s="584" t="s">
        <v>7042</v>
      </c>
      <c r="CR2335" s="584" t="s">
        <v>7042</v>
      </c>
      <c r="CS2335" s="584" t="s">
        <v>2583</v>
      </c>
      <c r="CT2335" s="584" t="s">
        <v>2584</v>
      </c>
      <c r="CU2335" s="584" t="s">
        <v>2585</v>
      </c>
      <c r="CV2335" s="585" t="s">
        <v>6675</v>
      </c>
    </row>
    <row r="2336" spans="91:100" ht="25.5" x14ac:dyDescent="0.25">
      <c r="CM2336" s="582"/>
      <c r="CN2336" s="584" t="s">
        <v>7043</v>
      </c>
      <c r="CO2336" s="584" t="s">
        <v>1918</v>
      </c>
      <c r="CP2336" s="584" t="s">
        <v>1888</v>
      </c>
      <c r="CQ2336" s="584" t="s">
        <v>7044</v>
      </c>
      <c r="CR2336" s="584" t="s">
        <v>7044</v>
      </c>
      <c r="CS2336" s="584" t="s">
        <v>2583</v>
      </c>
      <c r="CT2336" s="584" t="s">
        <v>2584</v>
      </c>
      <c r="CU2336" s="584" t="s">
        <v>2585</v>
      </c>
      <c r="CV2336" s="585" t="s">
        <v>6675</v>
      </c>
    </row>
    <row r="2337" spans="91:100" ht="25.5" x14ac:dyDescent="0.25">
      <c r="CM2337" s="582"/>
      <c r="CN2337" s="584" t="s">
        <v>7045</v>
      </c>
      <c r="CO2337" s="584" t="s">
        <v>1918</v>
      </c>
      <c r="CP2337" s="584" t="s">
        <v>1888</v>
      </c>
      <c r="CQ2337" s="584" t="s">
        <v>7046</v>
      </c>
      <c r="CR2337" s="584" t="s">
        <v>7046</v>
      </c>
      <c r="CS2337" s="584" t="s">
        <v>2583</v>
      </c>
      <c r="CT2337" s="584" t="s">
        <v>2584</v>
      </c>
      <c r="CU2337" s="584" t="s">
        <v>2585</v>
      </c>
      <c r="CV2337" s="585" t="s">
        <v>6675</v>
      </c>
    </row>
    <row r="2338" spans="91:100" ht="25.5" x14ac:dyDescent="0.25">
      <c r="CM2338" s="582"/>
      <c r="CN2338" s="584" t="s">
        <v>7047</v>
      </c>
      <c r="CO2338" s="584" t="s">
        <v>1918</v>
      </c>
      <c r="CP2338" s="584" t="s">
        <v>1888</v>
      </c>
      <c r="CQ2338" s="584" t="s">
        <v>7048</v>
      </c>
      <c r="CR2338" s="584" t="s">
        <v>7048</v>
      </c>
      <c r="CS2338" s="584" t="s">
        <v>2583</v>
      </c>
      <c r="CT2338" s="584" t="s">
        <v>2584</v>
      </c>
      <c r="CU2338" s="584" t="s">
        <v>2585</v>
      </c>
      <c r="CV2338" s="585" t="s">
        <v>6675</v>
      </c>
    </row>
    <row r="2339" spans="91:100" ht="25.5" x14ac:dyDescent="0.25">
      <c r="CM2339" s="582"/>
      <c r="CN2339" s="584" t="s">
        <v>7049</v>
      </c>
      <c r="CO2339" s="584" t="s">
        <v>1918</v>
      </c>
      <c r="CP2339" s="584" t="s">
        <v>1888</v>
      </c>
      <c r="CQ2339" s="584" t="s">
        <v>7050</v>
      </c>
      <c r="CR2339" s="584" t="s">
        <v>7050</v>
      </c>
      <c r="CS2339" s="584" t="s">
        <v>2583</v>
      </c>
      <c r="CT2339" s="584" t="s">
        <v>2584</v>
      </c>
      <c r="CU2339" s="584" t="s">
        <v>2585</v>
      </c>
      <c r="CV2339" s="585" t="s">
        <v>6675</v>
      </c>
    </row>
    <row r="2340" spans="91:100" ht="25.5" x14ac:dyDescent="0.25">
      <c r="CM2340" s="582"/>
      <c r="CN2340" s="584" t="s">
        <v>7051</v>
      </c>
      <c r="CO2340" s="584" t="s">
        <v>1918</v>
      </c>
      <c r="CP2340" s="584" t="s">
        <v>1888</v>
      </c>
      <c r="CQ2340" s="584" t="s">
        <v>7052</v>
      </c>
      <c r="CR2340" s="584" t="s">
        <v>7052</v>
      </c>
      <c r="CS2340" s="584" t="s">
        <v>2583</v>
      </c>
      <c r="CT2340" s="584" t="s">
        <v>2584</v>
      </c>
      <c r="CU2340" s="584" t="s">
        <v>2585</v>
      </c>
      <c r="CV2340" s="585" t="s">
        <v>6675</v>
      </c>
    </row>
    <row r="2341" spans="91:100" ht="25.5" x14ac:dyDescent="0.25">
      <c r="CM2341" s="582"/>
      <c r="CN2341" s="584" t="s">
        <v>7053</v>
      </c>
      <c r="CO2341" s="584" t="s">
        <v>1918</v>
      </c>
      <c r="CP2341" s="584" t="s">
        <v>1888</v>
      </c>
      <c r="CQ2341" s="584" t="s">
        <v>7054</v>
      </c>
      <c r="CR2341" s="584" t="s">
        <v>7054</v>
      </c>
      <c r="CS2341" s="584" t="s">
        <v>2583</v>
      </c>
      <c r="CT2341" s="584" t="s">
        <v>2584</v>
      </c>
      <c r="CU2341" s="584" t="s">
        <v>2585</v>
      </c>
      <c r="CV2341" s="585" t="s">
        <v>6675</v>
      </c>
    </row>
    <row r="2342" spans="91:100" ht="25.5" x14ac:dyDescent="0.25">
      <c r="CM2342" s="582"/>
      <c r="CN2342" s="584" t="s">
        <v>7055</v>
      </c>
      <c r="CO2342" s="584" t="s">
        <v>1918</v>
      </c>
      <c r="CP2342" s="584" t="s">
        <v>1888</v>
      </c>
      <c r="CQ2342" s="584" t="s">
        <v>7056</v>
      </c>
      <c r="CR2342" s="584" t="s">
        <v>7056</v>
      </c>
      <c r="CS2342" s="584" t="s">
        <v>2583</v>
      </c>
      <c r="CT2342" s="584" t="s">
        <v>2584</v>
      </c>
      <c r="CU2342" s="584" t="s">
        <v>2585</v>
      </c>
      <c r="CV2342" s="585" t="s">
        <v>6675</v>
      </c>
    </row>
    <row r="2343" spans="91:100" x14ac:dyDescent="0.25">
      <c r="CM2343" s="582"/>
      <c r="CN2343" s="584" t="s">
        <v>7057</v>
      </c>
      <c r="CO2343" s="584" t="s">
        <v>1918</v>
      </c>
      <c r="CP2343" s="584" t="s">
        <v>1888</v>
      </c>
      <c r="CQ2343" s="584" t="s">
        <v>7058</v>
      </c>
      <c r="CR2343" s="584" t="s">
        <v>7058</v>
      </c>
      <c r="CS2343" s="584" t="s">
        <v>1890</v>
      </c>
      <c r="CT2343" s="584" t="s">
        <v>6703</v>
      </c>
      <c r="CU2343" s="584" t="s">
        <v>1892</v>
      </c>
      <c r="CV2343" s="585" t="s">
        <v>1893</v>
      </c>
    </row>
    <row r="2344" spans="91:100" ht="25.5" x14ac:dyDescent="0.25">
      <c r="CM2344" s="582"/>
      <c r="CN2344" s="584" t="s">
        <v>7059</v>
      </c>
      <c r="CO2344" s="584" t="s">
        <v>1918</v>
      </c>
      <c r="CP2344" s="584" t="s">
        <v>1888</v>
      </c>
      <c r="CQ2344" s="584" t="s">
        <v>7060</v>
      </c>
      <c r="CR2344" s="584" t="s">
        <v>7060</v>
      </c>
      <c r="CS2344" s="584" t="s">
        <v>2583</v>
      </c>
      <c r="CT2344" s="584" t="s">
        <v>2584</v>
      </c>
      <c r="CU2344" s="584" t="s">
        <v>2585</v>
      </c>
      <c r="CV2344" s="585" t="s">
        <v>6675</v>
      </c>
    </row>
    <row r="2345" spans="91:100" ht="25.5" x14ac:dyDescent="0.25">
      <c r="CM2345" s="582"/>
      <c r="CN2345" s="584" t="s">
        <v>7061</v>
      </c>
      <c r="CO2345" s="584" t="s">
        <v>1918</v>
      </c>
      <c r="CP2345" s="584" t="s">
        <v>1888</v>
      </c>
      <c r="CQ2345" s="584" t="s">
        <v>7062</v>
      </c>
      <c r="CR2345" s="584" t="s">
        <v>7062</v>
      </c>
      <c r="CS2345" s="584" t="s">
        <v>2583</v>
      </c>
      <c r="CT2345" s="584" t="s">
        <v>2584</v>
      </c>
      <c r="CU2345" s="584" t="s">
        <v>2585</v>
      </c>
      <c r="CV2345" s="585" t="s">
        <v>6675</v>
      </c>
    </row>
    <row r="2346" spans="91:100" x14ac:dyDescent="0.25">
      <c r="CM2346" s="582"/>
      <c r="CN2346" s="584" t="s">
        <v>7063</v>
      </c>
      <c r="CO2346" s="584" t="s">
        <v>1918</v>
      </c>
      <c r="CP2346" s="584" t="s">
        <v>1888</v>
      </c>
      <c r="CQ2346" s="584" t="s">
        <v>7064</v>
      </c>
      <c r="CR2346" s="584" t="s">
        <v>7064</v>
      </c>
      <c r="CS2346" s="584" t="s">
        <v>1890</v>
      </c>
      <c r="CT2346" s="584" t="s">
        <v>6703</v>
      </c>
      <c r="CU2346" s="584" t="s">
        <v>1892</v>
      </c>
      <c r="CV2346" s="585" t="s">
        <v>1893</v>
      </c>
    </row>
    <row r="2347" spans="91:100" ht="25.5" x14ac:dyDescent="0.25">
      <c r="CM2347" s="582"/>
      <c r="CN2347" s="584" t="s">
        <v>7065</v>
      </c>
      <c r="CO2347" s="584" t="s">
        <v>1918</v>
      </c>
      <c r="CP2347" s="584" t="s">
        <v>1888</v>
      </c>
      <c r="CQ2347" s="584" t="s">
        <v>7066</v>
      </c>
      <c r="CR2347" s="584" t="s">
        <v>7066</v>
      </c>
      <c r="CS2347" s="584" t="s">
        <v>2583</v>
      </c>
      <c r="CT2347" s="584" t="s">
        <v>2584</v>
      </c>
      <c r="CU2347" s="584" t="s">
        <v>2585</v>
      </c>
      <c r="CV2347" s="585" t="s">
        <v>6675</v>
      </c>
    </row>
    <row r="2348" spans="91:100" ht="25.5" x14ac:dyDescent="0.25">
      <c r="CM2348" s="582"/>
      <c r="CN2348" s="584" t="s">
        <v>7067</v>
      </c>
      <c r="CO2348" s="584" t="s">
        <v>1918</v>
      </c>
      <c r="CP2348" s="584" t="s">
        <v>1888</v>
      </c>
      <c r="CQ2348" s="584" t="s">
        <v>7068</v>
      </c>
      <c r="CR2348" s="584" t="s">
        <v>7068</v>
      </c>
      <c r="CS2348" s="584" t="s">
        <v>2583</v>
      </c>
      <c r="CT2348" s="584" t="s">
        <v>2584</v>
      </c>
      <c r="CU2348" s="584" t="s">
        <v>2585</v>
      </c>
      <c r="CV2348" s="585" t="s">
        <v>6675</v>
      </c>
    </row>
    <row r="2349" spans="91:100" ht="25.5" x14ac:dyDescent="0.25">
      <c r="CM2349" s="582"/>
      <c r="CN2349" s="584" t="s">
        <v>7069</v>
      </c>
      <c r="CO2349" s="584" t="s">
        <v>1918</v>
      </c>
      <c r="CP2349" s="584" t="s">
        <v>1888</v>
      </c>
      <c r="CQ2349" s="584" t="s">
        <v>7070</v>
      </c>
      <c r="CR2349" s="584" t="s">
        <v>7070</v>
      </c>
      <c r="CS2349" s="584" t="s">
        <v>2583</v>
      </c>
      <c r="CT2349" s="584" t="s">
        <v>2584</v>
      </c>
      <c r="CU2349" s="584" t="s">
        <v>2585</v>
      </c>
      <c r="CV2349" s="585" t="s">
        <v>6675</v>
      </c>
    </row>
    <row r="2350" spans="91:100" ht="25.5" x14ac:dyDescent="0.25">
      <c r="CM2350" s="582"/>
      <c r="CN2350" s="584" t="s">
        <v>7071</v>
      </c>
      <c r="CO2350" s="584" t="s">
        <v>1918</v>
      </c>
      <c r="CP2350" s="584" t="s">
        <v>1888</v>
      </c>
      <c r="CQ2350" s="584" t="s">
        <v>7072</v>
      </c>
      <c r="CR2350" s="584" t="s">
        <v>7072</v>
      </c>
      <c r="CS2350" s="584" t="s">
        <v>2583</v>
      </c>
      <c r="CT2350" s="584" t="s">
        <v>2584</v>
      </c>
      <c r="CU2350" s="584" t="s">
        <v>2585</v>
      </c>
      <c r="CV2350" s="585" t="s">
        <v>6675</v>
      </c>
    </row>
    <row r="2351" spans="91:100" ht="25.5" x14ac:dyDescent="0.25">
      <c r="CM2351" s="582"/>
      <c r="CN2351" s="584" t="s">
        <v>7073</v>
      </c>
      <c r="CO2351" s="584" t="s">
        <v>1918</v>
      </c>
      <c r="CP2351" s="584" t="s">
        <v>1888</v>
      </c>
      <c r="CQ2351" s="584" t="s">
        <v>7074</v>
      </c>
      <c r="CR2351" s="584" t="s">
        <v>7074</v>
      </c>
      <c r="CS2351" s="584" t="s">
        <v>2583</v>
      </c>
      <c r="CT2351" s="584" t="s">
        <v>2584</v>
      </c>
      <c r="CU2351" s="584" t="s">
        <v>2585</v>
      </c>
      <c r="CV2351" s="585" t="s">
        <v>6675</v>
      </c>
    </row>
    <row r="2352" spans="91:100" x14ac:dyDescent="0.25">
      <c r="CM2352" s="582"/>
      <c r="CN2352" s="584" t="s">
        <v>7075</v>
      </c>
      <c r="CO2352" s="584" t="s">
        <v>1918</v>
      </c>
      <c r="CP2352" s="584" t="s">
        <v>1888</v>
      </c>
      <c r="CQ2352" s="584" t="s">
        <v>7076</v>
      </c>
      <c r="CR2352" s="584" t="s">
        <v>7076</v>
      </c>
      <c r="CS2352" s="584" t="s">
        <v>1890</v>
      </c>
      <c r="CT2352" s="584" t="s">
        <v>6703</v>
      </c>
      <c r="CU2352" s="584" t="s">
        <v>1892</v>
      </c>
      <c r="CV2352" s="585" t="s">
        <v>1893</v>
      </c>
    </row>
    <row r="2353" spans="91:100" ht="25.5" x14ac:dyDescent="0.25">
      <c r="CM2353" s="582"/>
      <c r="CN2353" s="584" t="s">
        <v>7077</v>
      </c>
      <c r="CO2353" s="584" t="s">
        <v>1918</v>
      </c>
      <c r="CP2353" s="584" t="s">
        <v>1888</v>
      </c>
      <c r="CQ2353" s="584" t="s">
        <v>7078</v>
      </c>
      <c r="CR2353" s="584" t="s">
        <v>7078</v>
      </c>
      <c r="CS2353" s="584" t="s">
        <v>2583</v>
      </c>
      <c r="CT2353" s="584" t="s">
        <v>2584</v>
      </c>
      <c r="CU2353" s="584" t="s">
        <v>2585</v>
      </c>
      <c r="CV2353" s="585" t="s">
        <v>6675</v>
      </c>
    </row>
    <row r="2354" spans="91:100" x14ac:dyDescent="0.25">
      <c r="CM2354" s="582"/>
      <c r="CN2354" s="584" t="s">
        <v>7079</v>
      </c>
      <c r="CO2354" s="584" t="s">
        <v>1918</v>
      </c>
      <c r="CP2354" s="584" t="s">
        <v>1888</v>
      </c>
      <c r="CQ2354" s="584" t="s">
        <v>7080</v>
      </c>
      <c r="CR2354" s="584" t="s">
        <v>7080</v>
      </c>
      <c r="CS2354" s="584" t="s">
        <v>1890</v>
      </c>
      <c r="CT2354" s="584" t="s">
        <v>6703</v>
      </c>
      <c r="CU2354" s="584" t="s">
        <v>1892</v>
      </c>
      <c r="CV2354" s="585" t="s">
        <v>1893</v>
      </c>
    </row>
    <row r="2355" spans="91:100" ht="25.5" x14ac:dyDescent="0.25">
      <c r="CM2355" s="582"/>
      <c r="CN2355" s="584" t="s">
        <v>7081</v>
      </c>
      <c r="CO2355" s="584" t="s">
        <v>1918</v>
      </c>
      <c r="CP2355" s="584" t="s">
        <v>1888</v>
      </c>
      <c r="CQ2355" s="584" t="s">
        <v>7082</v>
      </c>
      <c r="CR2355" s="584" t="s">
        <v>7082</v>
      </c>
      <c r="CS2355" s="584" t="s">
        <v>2583</v>
      </c>
      <c r="CT2355" s="584" t="s">
        <v>2584</v>
      </c>
      <c r="CU2355" s="584" t="s">
        <v>2585</v>
      </c>
      <c r="CV2355" s="585" t="s">
        <v>6675</v>
      </c>
    </row>
    <row r="2356" spans="91:100" x14ac:dyDescent="0.25">
      <c r="CM2356" s="582"/>
      <c r="CN2356" s="584" t="s">
        <v>7083</v>
      </c>
      <c r="CO2356" s="584" t="s">
        <v>1918</v>
      </c>
      <c r="CP2356" s="584" t="s">
        <v>1888</v>
      </c>
      <c r="CQ2356" s="584" t="s">
        <v>7084</v>
      </c>
      <c r="CR2356" s="584" t="s">
        <v>7085</v>
      </c>
      <c r="CS2356" s="584" t="s">
        <v>1890</v>
      </c>
      <c r="CT2356" s="584" t="s">
        <v>6703</v>
      </c>
      <c r="CU2356" s="584" t="s">
        <v>1892</v>
      </c>
      <c r="CV2356" s="585" t="s">
        <v>1893</v>
      </c>
    </row>
    <row r="2357" spans="91:100" x14ac:dyDescent="0.25">
      <c r="CM2357" s="582"/>
      <c r="CN2357" s="584" t="s">
        <v>7086</v>
      </c>
      <c r="CO2357" s="584" t="s">
        <v>1918</v>
      </c>
      <c r="CP2357" s="584" t="s">
        <v>1888</v>
      </c>
      <c r="CQ2357" s="584" t="s">
        <v>7087</v>
      </c>
      <c r="CR2357" s="584" t="s">
        <v>7088</v>
      </c>
      <c r="CS2357" s="584" t="s">
        <v>1890</v>
      </c>
      <c r="CT2357" s="584" t="s">
        <v>6703</v>
      </c>
      <c r="CU2357" s="584" t="s">
        <v>1892</v>
      </c>
      <c r="CV2357" s="585" t="s">
        <v>1893</v>
      </c>
    </row>
    <row r="2358" spans="91:100" ht="25.5" x14ac:dyDescent="0.25">
      <c r="CM2358" s="582"/>
      <c r="CN2358" s="584" t="s">
        <v>7089</v>
      </c>
      <c r="CO2358" s="584" t="s">
        <v>1918</v>
      </c>
      <c r="CP2358" s="584" t="s">
        <v>1888</v>
      </c>
      <c r="CQ2358" s="584" t="s">
        <v>7090</v>
      </c>
      <c r="CR2358" s="584" t="s">
        <v>7090</v>
      </c>
      <c r="CS2358" s="584" t="s">
        <v>2583</v>
      </c>
      <c r="CT2358" s="584" t="s">
        <v>2584</v>
      </c>
      <c r="CU2358" s="584" t="s">
        <v>2585</v>
      </c>
      <c r="CV2358" s="585" t="s">
        <v>6675</v>
      </c>
    </row>
    <row r="2359" spans="91:100" x14ac:dyDescent="0.25">
      <c r="CM2359" s="582"/>
      <c r="CN2359" s="584" t="s">
        <v>7091</v>
      </c>
      <c r="CO2359" s="584" t="s">
        <v>1918</v>
      </c>
      <c r="CP2359" s="584" t="s">
        <v>1888</v>
      </c>
      <c r="CQ2359" s="584" t="s">
        <v>7092</v>
      </c>
      <c r="CR2359" s="584" t="s">
        <v>7092</v>
      </c>
      <c r="CS2359" s="584" t="s">
        <v>1978</v>
      </c>
      <c r="CT2359" s="584" t="s">
        <v>1979</v>
      </c>
      <c r="CU2359" s="584" t="s">
        <v>1892</v>
      </c>
      <c r="CV2359" s="585" t="s">
        <v>1980</v>
      </c>
    </row>
    <row r="2360" spans="91:100" x14ac:dyDescent="0.25">
      <c r="CM2360" s="582"/>
      <c r="CN2360" s="584" t="s">
        <v>7093</v>
      </c>
      <c r="CO2360" s="584" t="s">
        <v>1918</v>
      </c>
      <c r="CP2360" s="584" t="s">
        <v>1888</v>
      </c>
      <c r="CQ2360" s="584" t="s">
        <v>7094</v>
      </c>
      <c r="CR2360" s="584" t="s">
        <v>7094</v>
      </c>
      <c r="CS2360" s="584" t="s">
        <v>1978</v>
      </c>
      <c r="CT2360" s="584" t="s">
        <v>1979</v>
      </c>
      <c r="CU2360" s="584" t="s">
        <v>1892</v>
      </c>
      <c r="CV2360" s="585" t="s">
        <v>1980</v>
      </c>
    </row>
    <row r="2361" spans="91:100" ht="25.5" x14ac:dyDescent="0.25">
      <c r="CM2361" s="582"/>
      <c r="CN2361" s="584" t="s">
        <v>7095</v>
      </c>
      <c r="CO2361" s="584" t="s">
        <v>1918</v>
      </c>
      <c r="CP2361" s="584" t="s">
        <v>1888</v>
      </c>
      <c r="CQ2361" s="584" t="s">
        <v>7096</v>
      </c>
      <c r="CR2361" s="584" t="s">
        <v>7096</v>
      </c>
      <c r="CS2361" s="584" t="s">
        <v>2583</v>
      </c>
      <c r="CT2361" s="584" t="s">
        <v>2584</v>
      </c>
      <c r="CU2361" s="584" t="s">
        <v>2585</v>
      </c>
      <c r="CV2361" s="585" t="s">
        <v>6675</v>
      </c>
    </row>
    <row r="2362" spans="91:100" ht="25.5" x14ac:dyDescent="0.25">
      <c r="CM2362" s="582"/>
      <c r="CN2362" s="584" t="s">
        <v>7097</v>
      </c>
      <c r="CO2362" s="584" t="s">
        <v>1918</v>
      </c>
      <c r="CP2362" s="584" t="s">
        <v>1888</v>
      </c>
      <c r="CQ2362" s="584" t="s">
        <v>7098</v>
      </c>
      <c r="CR2362" s="584" t="s">
        <v>7098</v>
      </c>
      <c r="CS2362" s="584" t="s">
        <v>2583</v>
      </c>
      <c r="CT2362" s="584" t="s">
        <v>2584</v>
      </c>
      <c r="CU2362" s="584" t="s">
        <v>2585</v>
      </c>
      <c r="CV2362" s="585" t="s">
        <v>6675</v>
      </c>
    </row>
    <row r="2363" spans="91:100" ht="25.5" x14ac:dyDescent="0.25">
      <c r="CM2363" s="582"/>
      <c r="CN2363" s="584" t="s">
        <v>7099</v>
      </c>
      <c r="CO2363" s="584" t="s">
        <v>1918</v>
      </c>
      <c r="CP2363" s="584" t="s">
        <v>1888</v>
      </c>
      <c r="CQ2363" s="584" t="s">
        <v>7100</v>
      </c>
      <c r="CR2363" s="584" t="s">
        <v>7100</v>
      </c>
      <c r="CS2363" s="584" t="s">
        <v>2583</v>
      </c>
      <c r="CT2363" s="584" t="s">
        <v>2584</v>
      </c>
      <c r="CU2363" s="584" t="s">
        <v>2585</v>
      </c>
      <c r="CV2363" s="585" t="s">
        <v>6675</v>
      </c>
    </row>
    <row r="2364" spans="91:100" ht="25.5" x14ac:dyDescent="0.25">
      <c r="CM2364" s="582"/>
      <c r="CN2364" s="584" t="s">
        <v>7101</v>
      </c>
      <c r="CO2364" s="584" t="s">
        <v>1918</v>
      </c>
      <c r="CP2364" s="584" t="s">
        <v>1888</v>
      </c>
      <c r="CQ2364" s="584" t="s">
        <v>7102</v>
      </c>
      <c r="CR2364" s="584" t="s">
        <v>7102</v>
      </c>
      <c r="CS2364" s="584" t="s">
        <v>2583</v>
      </c>
      <c r="CT2364" s="584" t="s">
        <v>2584</v>
      </c>
      <c r="CU2364" s="584" t="s">
        <v>2585</v>
      </c>
      <c r="CV2364" s="585" t="s">
        <v>6675</v>
      </c>
    </row>
    <row r="2365" spans="91:100" ht="25.5" x14ac:dyDescent="0.25">
      <c r="CM2365" s="582"/>
      <c r="CN2365" s="584" t="s">
        <v>7103</v>
      </c>
      <c r="CO2365" s="584" t="s">
        <v>1918</v>
      </c>
      <c r="CP2365" s="584" t="s">
        <v>1888</v>
      </c>
      <c r="CQ2365" s="584" t="s">
        <v>7104</v>
      </c>
      <c r="CR2365" s="584" t="s">
        <v>7104</v>
      </c>
      <c r="CS2365" s="584" t="s">
        <v>2583</v>
      </c>
      <c r="CT2365" s="584" t="s">
        <v>2584</v>
      </c>
      <c r="CU2365" s="584" t="s">
        <v>2585</v>
      </c>
      <c r="CV2365" s="585" t="s">
        <v>6675</v>
      </c>
    </row>
    <row r="2366" spans="91:100" ht="25.5" x14ac:dyDescent="0.25">
      <c r="CM2366" s="582"/>
      <c r="CN2366" s="584" t="s">
        <v>7105</v>
      </c>
      <c r="CO2366" s="584" t="s">
        <v>1918</v>
      </c>
      <c r="CP2366" s="584" t="s">
        <v>1888</v>
      </c>
      <c r="CQ2366" s="584" t="s">
        <v>7106</v>
      </c>
      <c r="CR2366" s="584" t="s">
        <v>7106</v>
      </c>
      <c r="CS2366" s="584" t="s">
        <v>2583</v>
      </c>
      <c r="CT2366" s="584" t="s">
        <v>2584</v>
      </c>
      <c r="CU2366" s="584" t="s">
        <v>2585</v>
      </c>
      <c r="CV2366" s="585" t="s">
        <v>6675</v>
      </c>
    </row>
    <row r="2367" spans="91:100" x14ac:dyDescent="0.25">
      <c r="CM2367" s="582"/>
      <c r="CN2367" s="584" t="s">
        <v>7107</v>
      </c>
      <c r="CO2367" s="584" t="s">
        <v>1918</v>
      </c>
      <c r="CP2367" s="584" t="s">
        <v>1888</v>
      </c>
      <c r="CQ2367" s="584" t="s">
        <v>7108</v>
      </c>
      <c r="CR2367" s="584" t="s">
        <v>7108</v>
      </c>
      <c r="CS2367" s="584" t="s">
        <v>1890</v>
      </c>
      <c r="CT2367" s="584" t="s">
        <v>6703</v>
      </c>
      <c r="CU2367" s="584" t="s">
        <v>1892</v>
      </c>
      <c r="CV2367" s="585" t="s">
        <v>1893</v>
      </c>
    </row>
    <row r="2368" spans="91:100" ht="25.5" x14ac:dyDescent="0.25">
      <c r="CM2368" s="582"/>
      <c r="CN2368" s="584" t="s">
        <v>7109</v>
      </c>
      <c r="CO2368" s="584" t="s">
        <v>1918</v>
      </c>
      <c r="CP2368" s="584" t="s">
        <v>1888</v>
      </c>
      <c r="CQ2368" s="584" t="s">
        <v>7110</v>
      </c>
      <c r="CR2368" s="584" t="s">
        <v>7110</v>
      </c>
      <c r="CS2368" s="584" t="s">
        <v>2583</v>
      </c>
      <c r="CT2368" s="584" t="s">
        <v>2584</v>
      </c>
      <c r="CU2368" s="584" t="s">
        <v>2585</v>
      </c>
      <c r="CV2368" s="585" t="s">
        <v>6675</v>
      </c>
    </row>
    <row r="2369" spans="91:100" ht="25.5" x14ac:dyDescent="0.25">
      <c r="CM2369" s="582"/>
      <c r="CN2369" s="584" t="s">
        <v>7111</v>
      </c>
      <c r="CO2369" s="584" t="s">
        <v>1918</v>
      </c>
      <c r="CP2369" s="584" t="s">
        <v>1888</v>
      </c>
      <c r="CQ2369" s="584" t="s">
        <v>7112</v>
      </c>
      <c r="CR2369" s="584" t="s">
        <v>7112</v>
      </c>
      <c r="CS2369" s="584" t="s">
        <v>2583</v>
      </c>
      <c r="CT2369" s="584" t="s">
        <v>2584</v>
      </c>
      <c r="CU2369" s="584" t="s">
        <v>2585</v>
      </c>
      <c r="CV2369" s="585" t="s">
        <v>6675</v>
      </c>
    </row>
    <row r="2370" spans="91:100" ht="25.5" x14ac:dyDescent="0.25">
      <c r="CM2370" s="582"/>
      <c r="CN2370" s="584" t="s">
        <v>7113</v>
      </c>
      <c r="CO2370" s="584" t="s">
        <v>1918</v>
      </c>
      <c r="CP2370" s="584" t="s">
        <v>1888</v>
      </c>
      <c r="CQ2370" s="584" t="s">
        <v>7114</v>
      </c>
      <c r="CR2370" s="584" t="s">
        <v>7114</v>
      </c>
      <c r="CS2370" s="584" t="s">
        <v>2583</v>
      </c>
      <c r="CT2370" s="584" t="s">
        <v>2584</v>
      </c>
      <c r="CU2370" s="584" t="s">
        <v>2585</v>
      </c>
      <c r="CV2370" s="585" t="s">
        <v>6675</v>
      </c>
    </row>
    <row r="2371" spans="91:100" ht="25.5" x14ac:dyDescent="0.25">
      <c r="CM2371" s="582"/>
      <c r="CN2371" s="584" t="s">
        <v>7115</v>
      </c>
      <c r="CO2371" s="584" t="s">
        <v>1918</v>
      </c>
      <c r="CP2371" s="584" t="s">
        <v>1888</v>
      </c>
      <c r="CQ2371" s="584" t="s">
        <v>7116</v>
      </c>
      <c r="CR2371" s="584" t="s">
        <v>7116</v>
      </c>
      <c r="CS2371" s="584" t="s">
        <v>2583</v>
      </c>
      <c r="CT2371" s="584" t="s">
        <v>2584</v>
      </c>
      <c r="CU2371" s="584" t="s">
        <v>2585</v>
      </c>
      <c r="CV2371" s="585" t="s">
        <v>6675</v>
      </c>
    </row>
    <row r="2372" spans="91:100" ht="25.5" x14ac:dyDescent="0.25">
      <c r="CM2372" s="582"/>
      <c r="CN2372" s="584" t="s">
        <v>7117</v>
      </c>
      <c r="CO2372" s="584" t="s">
        <v>1918</v>
      </c>
      <c r="CP2372" s="584" t="s">
        <v>1888</v>
      </c>
      <c r="CQ2372" s="584" t="s">
        <v>7118</v>
      </c>
      <c r="CR2372" s="584" t="s">
        <v>7118</v>
      </c>
      <c r="CS2372" s="584" t="s">
        <v>2583</v>
      </c>
      <c r="CT2372" s="584" t="s">
        <v>2584</v>
      </c>
      <c r="CU2372" s="584" t="s">
        <v>2585</v>
      </c>
      <c r="CV2372" s="585" t="s">
        <v>6675</v>
      </c>
    </row>
    <row r="2373" spans="91:100" x14ac:dyDescent="0.25">
      <c r="CM2373" s="582"/>
      <c r="CN2373" s="584" t="s">
        <v>7119</v>
      </c>
      <c r="CO2373" s="584" t="s">
        <v>1918</v>
      </c>
      <c r="CP2373" s="584" t="s">
        <v>1888</v>
      </c>
      <c r="CQ2373" s="584" t="s">
        <v>7120</v>
      </c>
      <c r="CR2373" s="584" t="s">
        <v>7120</v>
      </c>
      <c r="CS2373" s="584" t="s">
        <v>1978</v>
      </c>
      <c r="CT2373" s="584" t="s">
        <v>1979</v>
      </c>
      <c r="CU2373" s="584" t="s">
        <v>1892</v>
      </c>
      <c r="CV2373" s="585" t="s">
        <v>1980</v>
      </c>
    </row>
    <row r="2374" spans="91:100" ht="25.5" x14ac:dyDescent="0.25">
      <c r="CM2374" s="582"/>
      <c r="CN2374" s="584" t="s">
        <v>7121</v>
      </c>
      <c r="CO2374" s="584" t="s">
        <v>1918</v>
      </c>
      <c r="CP2374" s="584" t="s">
        <v>1888</v>
      </c>
      <c r="CQ2374" s="584" t="s">
        <v>7122</v>
      </c>
      <c r="CR2374" s="584" t="s">
        <v>7122</v>
      </c>
      <c r="CS2374" s="584" t="s">
        <v>2583</v>
      </c>
      <c r="CT2374" s="584" t="s">
        <v>2584</v>
      </c>
      <c r="CU2374" s="584" t="s">
        <v>2585</v>
      </c>
      <c r="CV2374" s="585" t="s">
        <v>6675</v>
      </c>
    </row>
    <row r="2375" spans="91:100" ht="25.5" x14ac:dyDescent="0.25">
      <c r="CM2375" s="582"/>
      <c r="CN2375" s="584" t="s">
        <v>7123</v>
      </c>
      <c r="CO2375" s="584" t="s">
        <v>1918</v>
      </c>
      <c r="CP2375" s="584" t="s">
        <v>1888</v>
      </c>
      <c r="CQ2375" s="584" t="s">
        <v>7124</v>
      </c>
      <c r="CR2375" s="584" t="s">
        <v>7124</v>
      </c>
      <c r="CS2375" s="584" t="s">
        <v>2583</v>
      </c>
      <c r="CT2375" s="584" t="s">
        <v>2584</v>
      </c>
      <c r="CU2375" s="584" t="s">
        <v>2585</v>
      </c>
      <c r="CV2375" s="585" t="s">
        <v>6675</v>
      </c>
    </row>
    <row r="2376" spans="91:100" ht="25.5" x14ac:dyDescent="0.25">
      <c r="CM2376" s="582"/>
      <c r="CN2376" s="584" t="s">
        <v>7125</v>
      </c>
      <c r="CO2376" s="584" t="s">
        <v>1918</v>
      </c>
      <c r="CP2376" s="584" t="s">
        <v>1888</v>
      </c>
      <c r="CQ2376" s="584" t="s">
        <v>7126</v>
      </c>
      <c r="CR2376" s="584" t="s">
        <v>7126</v>
      </c>
      <c r="CS2376" s="584" t="s">
        <v>2583</v>
      </c>
      <c r="CT2376" s="584" t="s">
        <v>2584</v>
      </c>
      <c r="CU2376" s="584" t="s">
        <v>2585</v>
      </c>
      <c r="CV2376" s="585" t="s">
        <v>6675</v>
      </c>
    </row>
    <row r="2377" spans="91:100" ht="25.5" x14ac:dyDescent="0.25">
      <c r="CM2377" s="582"/>
      <c r="CN2377" s="584" t="s">
        <v>7127</v>
      </c>
      <c r="CO2377" s="584" t="s">
        <v>1918</v>
      </c>
      <c r="CP2377" s="584" t="s">
        <v>1888</v>
      </c>
      <c r="CQ2377" s="584" t="s">
        <v>7128</v>
      </c>
      <c r="CR2377" s="584" t="s">
        <v>7128</v>
      </c>
      <c r="CS2377" s="584" t="s">
        <v>2583</v>
      </c>
      <c r="CT2377" s="584" t="s">
        <v>2584</v>
      </c>
      <c r="CU2377" s="584" t="s">
        <v>2585</v>
      </c>
      <c r="CV2377" s="585" t="s">
        <v>6675</v>
      </c>
    </row>
    <row r="2378" spans="91:100" x14ac:dyDescent="0.25">
      <c r="CM2378" s="582"/>
      <c r="CN2378" s="584" t="s">
        <v>7129</v>
      </c>
      <c r="CO2378" s="584" t="s">
        <v>1918</v>
      </c>
      <c r="CP2378" s="584" t="s">
        <v>1888</v>
      </c>
      <c r="CQ2378" s="584" t="s">
        <v>7130</v>
      </c>
      <c r="CR2378" s="584" t="s">
        <v>7130</v>
      </c>
      <c r="CS2378" s="584" t="s">
        <v>1890</v>
      </c>
      <c r="CT2378" s="584" t="s">
        <v>6703</v>
      </c>
      <c r="CU2378" s="584" t="s">
        <v>1892</v>
      </c>
      <c r="CV2378" s="585" t="s">
        <v>1893</v>
      </c>
    </row>
    <row r="2379" spans="91:100" ht="25.5" x14ac:dyDescent="0.25">
      <c r="CM2379" s="582"/>
      <c r="CN2379" s="584" t="s">
        <v>7131</v>
      </c>
      <c r="CO2379" s="584" t="s">
        <v>1918</v>
      </c>
      <c r="CP2379" s="584" t="s">
        <v>1888</v>
      </c>
      <c r="CQ2379" s="584" t="s">
        <v>7132</v>
      </c>
      <c r="CR2379" s="584" t="s">
        <v>7132</v>
      </c>
      <c r="CS2379" s="584" t="s">
        <v>2583</v>
      </c>
      <c r="CT2379" s="584" t="s">
        <v>2584</v>
      </c>
      <c r="CU2379" s="584" t="s">
        <v>2585</v>
      </c>
      <c r="CV2379" s="585" t="s">
        <v>6675</v>
      </c>
    </row>
    <row r="2380" spans="91:100" ht="25.5" x14ac:dyDescent="0.25">
      <c r="CM2380" s="582"/>
      <c r="CN2380" s="584" t="s">
        <v>7133</v>
      </c>
      <c r="CO2380" s="584" t="s">
        <v>1918</v>
      </c>
      <c r="CP2380" s="584" t="s">
        <v>1888</v>
      </c>
      <c r="CQ2380" s="584" t="s">
        <v>7134</v>
      </c>
      <c r="CR2380" s="584" t="s">
        <v>7134</v>
      </c>
      <c r="CS2380" s="584" t="s">
        <v>2583</v>
      </c>
      <c r="CT2380" s="584" t="s">
        <v>2584</v>
      </c>
      <c r="CU2380" s="584" t="s">
        <v>2585</v>
      </c>
      <c r="CV2380" s="585" t="s">
        <v>6675</v>
      </c>
    </row>
    <row r="2381" spans="91:100" ht="25.5" x14ac:dyDescent="0.25">
      <c r="CM2381" s="582"/>
      <c r="CN2381" s="584" t="s">
        <v>7135</v>
      </c>
      <c r="CO2381" s="584" t="s">
        <v>1918</v>
      </c>
      <c r="CP2381" s="584" t="s">
        <v>1888</v>
      </c>
      <c r="CQ2381" s="584" t="s">
        <v>7136</v>
      </c>
      <c r="CR2381" s="584" t="s">
        <v>7136</v>
      </c>
      <c r="CS2381" s="584" t="s">
        <v>2583</v>
      </c>
      <c r="CT2381" s="584" t="s">
        <v>2584</v>
      </c>
      <c r="CU2381" s="584" t="s">
        <v>2585</v>
      </c>
      <c r="CV2381" s="585" t="s">
        <v>6675</v>
      </c>
    </row>
    <row r="2382" spans="91:100" ht="25.5" x14ac:dyDescent="0.25">
      <c r="CM2382" s="582"/>
      <c r="CN2382" s="584" t="s">
        <v>7137</v>
      </c>
      <c r="CO2382" s="584" t="s">
        <v>1918</v>
      </c>
      <c r="CP2382" s="584" t="s">
        <v>1888</v>
      </c>
      <c r="CQ2382" s="584" t="s">
        <v>7138</v>
      </c>
      <c r="CR2382" s="584" t="s">
        <v>7138</v>
      </c>
      <c r="CS2382" s="584" t="s">
        <v>2583</v>
      </c>
      <c r="CT2382" s="584" t="s">
        <v>2584</v>
      </c>
      <c r="CU2382" s="584" t="s">
        <v>2585</v>
      </c>
      <c r="CV2382" s="585" t="s">
        <v>6675</v>
      </c>
    </row>
    <row r="2383" spans="91:100" ht="25.5" x14ac:dyDescent="0.25">
      <c r="CM2383" s="582"/>
      <c r="CN2383" s="584" t="s">
        <v>7139</v>
      </c>
      <c r="CO2383" s="584" t="s">
        <v>1918</v>
      </c>
      <c r="CP2383" s="584" t="s">
        <v>1888</v>
      </c>
      <c r="CQ2383" s="584" t="s">
        <v>7140</v>
      </c>
      <c r="CR2383" s="584" t="s">
        <v>7140</v>
      </c>
      <c r="CS2383" s="584" t="s">
        <v>2583</v>
      </c>
      <c r="CT2383" s="584" t="s">
        <v>2584</v>
      </c>
      <c r="CU2383" s="584" t="s">
        <v>2585</v>
      </c>
      <c r="CV2383" s="585" t="s">
        <v>6675</v>
      </c>
    </row>
    <row r="2384" spans="91:100" ht="25.5" x14ac:dyDescent="0.25">
      <c r="CM2384" s="582"/>
      <c r="CN2384" s="584" t="s">
        <v>7141</v>
      </c>
      <c r="CO2384" s="584" t="s">
        <v>1918</v>
      </c>
      <c r="CP2384" s="584" t="s">
        <v>1888</v>
      </c>
      <c r="CQ2384" s="584" t="s">
        <v>7142</v>
      </c>
      <c r="CR2384" s="584" t="s">
        <v>7142</v>
      </c>
      <c r="CS2384" s="584" t="s">
        <v>2583</v>
      </c>
      <c r="CT2384" s="584" t="s">
        <v>2584</v>
      </c>
      <c r="CU2384" s="584" t="s">
        <v>2585</v>
      </c>
      <c r="CV2384" s="585" t="s">
        <v>6675</v>
      </c>
    </row>
    <row r="2385" spans="91:100" ht="25.5" x14ac:dyDescent="0.25">
      <c r="CM2385" s="582"/>
      <c r="CN2385" s="584" t="s">
        <v>7143</v>
      </c>
      <c r="CO2385" s="584" t="s">
        <v>1918</v>
      </c>
      <c r="CP2385" s="584" t="s">
        <v>1888</v>
      </c>
      <c r="CQ2385" s="584" t="s">
        <v>7144</v>
      </c>
      <c r="CR2385" s="584" t="s">
        <v>7144</v>
      </c>
      <c r="CS2385" s="584" t="s">
        <v>2583</v>
      </c>
      <c r="CT2385" s="584" t="s">
        <v>2584</v>
      </c>
      <c r="CU2385" s="584" t="s">
        <v>2585</v>
      </c>
      <c r="CV2385" s="585" t="s">
        <v>6675</v>
      </c>
    </row>
    <row r="2386" spans="91:100" ht="25.5" x14ac:dyDescent="0.25">
      <c r="CM2386" s="582"/>
      <c r="CN2386" s="584" t="s">
        <v>7145</v>
      </c>
      <c r="CO2386" s="584" t="s">
        <v>1918</v>
      </c>
      <c r="CP2386" s="584" t="s">
        <v>1888</v>
      </c>
      <c r="CQ2386" s="584" t="s">
        <v>7146</v>
      </c>
      <c r="CR2386" s="584" t="s">
        <v>7146</v>
      </c>
      <c r="CS2386" s="584" t="s">
        <v>2583</v>
      </c>
      <c r="CT2386" s="584" t="s">
        <v>2584</v>
      </c>
      <c r="CU2386" s="584" t="s">
        <v>2585</v>
      </c>
      <c r="CV2386" s="585" t="s">
        <v>6675</v>
      </c>
    </row>
    <row r="2387" spans="91:100" ht="25.5" x14ac:dyDescent="0.25">
      <c r="CM2387" s="582"/>
      <c r="CN2387" s="584" t="s">
        <v>7147</v>
      </c>
      <c r="CO2387" s="584" t="s">
        <v>1918</v>
      </c>
      <c r="CP2387" s="584" t="s">
        <v>1888</v>
      </c>
      <c r="CQ2387" s="584" t="s">
        <v>7148</v>
      </c>
      <c r="CR2387" s="584" t="s">
        <v>7148</v>
      </c>
      <c r="CS2387" s="584" t="s">
        <v>2583</v>
      </c>
      <c r="CT2387" s="584" t="s">
        <v>2584</v>
      </c>
      <c r="CU2387" s="584" t="s">
        <v>2585</v>
      </c>
      <c r="CV2387" s="585" t="s">
        <v>6675</v>
      </c>
    </row>
    <row r="2388" spans="91:100" ht="25.5" x14ac:dyDescent="0.25">
      <c r="CM2388" s="582"/>
      <c r="CN2388" s="584" t="s">
        <v>7149</v>
      </c>
      <c r="CO2388" s="584" t="s">
        <v>1918</v>
      </c>
      <c r="CP2388" s="584" t="s">
        <v>1888</v>
      </c>
      <c r="CQ2388" s="584" t="s">
        <v>7150</v>
      </c>
      <c r="CR2388" s="584" t="s">
        <v>7150</v>
      </c>
      <c r="CS2388" s="584" t="s">
        <v>2583</v>
      </c>
      <c r="CT2388" s="584" t="s">
        <v>2584</v>
      </c>
      <c r="CU2388" s="584" t="s">
        <v>2585</v>
      </c>
      <c r="CV2388" s="585" t="s">
        <v>6675</v>
      </c>
    </row>
    <row r="2389" spans="91:100" ht="25.5" x14ac:dyDescent="0.25">
      <c r="CM2389" s="582"/>
      <c r="CN2389" s="584" t="s">
        <v>7151</v>
      </c>
      <c r="CO2389" s="584" t="s">
        <v>1918</v>
      </c>
      <c r="CP2389" s="584" t="s">
        <v>1888</v>
      </c>
      <c r="CQ2389" s="584" t="s">
        <v>7152</v>
      </c>
      <c r="CR2389" s="584" t="s">
        <v>7152</v>
      </c>
      <c r="CS2389" s="584" t="s">
        <v>2583</v>
      </c>
      <c r="CT2389" s="584" t="s">
        <v>2584</v>
      </c>
      <c r="CU2389" s="584" t="s">
        <v>2585</v>
      </c>
      <c r="CV2389" s="585" t="s">
        <v>6675</v>
      </c>
    </row>
    <row r="2390" spans="91:100" ht="25.5" x14ac:dyDescent="0.25">
      <c r="CM2390" s="582"/>
      <c r="CN2390" s="584" t="s">
        <v>7153</v>
      </c>
      <c r="CO2390" s="584" t="s">
        <v>1918</v>
      </c>
      <c r="CP2390" s="584" t="s">
        <v>1888</v>
      </c>
      <c r="CQ2390" s="584" t="s">
        <v>7154</v>
      </c>
      <c r="CR2390" s="584" t="s">
        <v>7154</v>
      </c>
      <c r="CS2390" s="584" t="s">
        <v>2583</v>
      </c>
      <c r="CT2390" s="584" t="s">
        <v>2584</v>
      </c>
      <c r="CU2390" s="584" t="s">
        <v>2585</v>
      </c>
      <c r="CV2390" s="585" t="s">
        <v>6675</v>
      </c>
    </row>
    <row r="2391" spans="91:100" ht="25.5" x14ac:dyDescent="0.25">
      <c r="CM2391" s="582"/>
      <c r="CN2391" s="584" t="s">
        <v>7155</v>
      </c>
      <c r="CO2391" s="584" t="s">
        <v>1918</v>
      </c>
      <c r="CP2391" s="584" t="s">
        <v>1888</v>
      </c>
      <c r="CQ2391" s="584" t="s">
        <v>7156</v>
      </c>
      <c r="CR2391" s="584" t="s">
        <v>7156</v>
      </c>
      <c r="CS2391" s="584" t="s">
        <v>2583</v>
      </c>
      <c r="CT2391" s="584" t="s">
        <v>2584</v>
      </c>
      <c r="CU2391" s="584" t="s">
        <v>2585</v>
      </c>
      <c r="CV2391" s="585" t="s">
        <v>6675</v>
      </c>
    </row>
    <row r="2392" spans="91:100" ht="25.5" x14ac:dyDescent="0.25">
      <c r="CM2392" s="582"/>
      <c r="CN2392" s="584" t="s">
        <v>7157</v>
      </c>
      <c r="CO2392" s="584" t="s">
        <v>1918</v>
      </c>
      <c r="CP2392" s="584" t="s">
        <v>1888</v>
      </c>
      <c r="CQ2392" s="584" t="s">
        <v>7158</v>
      </c>
      <c r="CR2392" s="584" t="s">
        <v>7158</v>
      </c>
      <c r="CS2392" s="584" t="s">
        <v>2583</v>
      </c>
      <c r="CT2392" s="584" t="s">
        <v>2584</v>
      </c>
      <c r="CU2392" s="584" t="s">
        <v>2585</v>
      </c>
      <c r="CV2392" s="585" t="s">
        <v>6675</v>
      </c>
    </row>
    <row r="2393" spans="91:100" x14ac:dyDescent="0.25">
      <c r="CM2393" s="582"/>
      <c r="CN2393" s="584" t="s">
        <v>7159</v>
      </c>
      <c r="CO2393" s="584" t="s">
        <v>1918</v>
      </c>
      <c r="CP2393" s="584" t="s">
        <v>1888</v>
      </c>
      <c r="CQ2393" s="584" t="s">
        <v>7160</v>
      </c>
      <c r="CR2393" s="584" t="s">
        <v>7160</v>
      </c>
      <c r="CS2393" s="584" t="s">
        <v>1978</v>
      </c>
      <c r="CT2393" s="584" t="s">
        <v>1979</v>
      </c>
      <c r="CU2393" s="584" t="s">
        <v>1892</v>
      </c>
      <c r="CV2393" s="585" t="s">
        <v>1980</v>
      </c>
    </row>
    <row r="2394" spans="91:100" x14ac:dyDescent="0.25">
      <c r="CM2394" s="582"/>
      <c r="CN2394" s="584" t="s">
        <v>7161</v>
      </c>
      <c r="CO2394" s="584" t="s">
        <v>1918</v>
      </c>
      <c r="CP2394" s="584" t="s">
        <v>1888</v>
      </c>
      <c r="CQ2394" s="584" t="s">
        <v>7162</v>
      </c>
      <c r="CR2394" s="584" t="s">
        <v>7162</v>
      </c>
      <c r="CS2394" s="584" t="s">
        <v>1978</v>
      </c>
      <c r="CT2394" s="584" t="s">
        <v>1979</v>
      </c>
      <c r="CU2394" s="584" t="s">
        <v>1892</v>
      </c>
      <c r="CV2394" s="585" t="s">
        <v>1980</v>
      </c>
    </row>
    <row r="2395" spans="91:100" ht="25.5" x14ac:dyDescent="0.25">
      <c r="CM2395" s="582"/>
      <c r="CN2395" s="584" t="s">
        <v>7163</v>
      </c>
      <c r="CO2395" s="584" t="s">
        <v>1918</v>
      </c>
      <c r="CP2395" s="584" t="s">
        <v>1888</v>
      </c>
      <c r="CQ2395" s="584" t="s">
        <v>7164</v>
      </c>
      <c r="CR2395" s="584" t="s">
        <v>7164</v>
      </c>
      <c r="CS2395" s="584" t="s">
        <v>2583</v>
      </c>
      <c r="CT2395" s="584" t="s">
        <v>2584</v>
      </c>
      <c r="CU2395" s="584" t="s">
        <v>2585</v>
      </c>
      <c r="CV2395" s="585" t="s">
        <v>6675</v>
      </c>
    </row>
    <row r="2396" spans="91:100" x14ac:dyDescent="0.25">
      <c r="CM2396" s="582"/>
      <c r="CN2396" s="584" t="s">
        <v>7165</v>
      </c>
      <c r="CO2396" s="584" t="s">
        <v>1918</v>
      </c>
      <c r="CP2396" s="584" t="s">
        <v>2325</v>
      </c>
      <c r="CQ2396" s="584" t="s">
        <v>7166</v>
      </c>
      <c r="CR2396" s="584" t="s">
        <v>7166</v>
      </c>
      <c r="CS2396" s="584" t="s">
        <v>1890</v>
      </c>
      <c r="CT2396" s="584" t="s">
        <v>7167</v>
      </c>
      <c r="CU2396" s="584" t="s">
        <v>1892</v>
      </c>
      <c r="CV2396" s="585" t="s">
        <v>1893</v>
      </c>
    </row>
    <row r="2397" spans="91:100" x14ac:dyDescent="0.25">
      <c r="CM2397" s="582"/>
      <c r="CN2397" s="584" t="s">
        <v>7168</v>
      </c>
      <c r="CO2397" s="584" t="s">
        <v>1918</v>
      </c>
      <c r="CP2397" s="584" t="s">
        <v>2325</v>
      </c>
      <c r="CQ2397" s="584" t="s">
        <v>7169</v>
      </c>
      <c r="CR2397" s="584" t="s">
        <v>7169</v>
      </c>
      <c r="CS2397" s="584" t="s">
        <v>1890</v>
      </c>
      <c r="CT2397" s="584" t="s">
        <v>7167</v>
      </c>
      <c r="CU2397" s="584" t="s">
        <v>1892</v>
      </c>
      <c r="CV2397" s="585" t="s">
        <v>1893</v>
      </c>
    </row>
    <row r="2398" spans="91:100" x14ac:dyDescent="0.25">
      <c r="CM2398" s="582"/>
      <c r="CN2398" s="584" t="s">
        <v>7170</v>
      </c>
      <c r="CO2398" s="584" t="s">
        <v>1918</v>
      </c>
      <c r="CP2398" s="584" t="s">
        <v>2325</v>
      </c>
      <c r="CQ2398" s="584" t="s">
        <v>7171</v>
      </c>
      <c r="CR2398" s="584" t="s">
        <v>7171</v>
      </c>
      <c r="CS2398" s="584" t="s">
        <v>1890</v>
      </c>
      <c r="CT2398" s="584" t="s">
        <v>7167</v>
      </c>
      <c r="CU2398" s="584" t="s">
        <v>1892</v>
      </c>
      <c r="CV2398" s="585" t="s">
        <v>1893</v>
      </c>
    </row>
    <row r="2399" spans="91:100" x14ac:dyDescent="0.25">
      <c r="CM2399" s="582"/>
      <c r="CN2399" s="584" t="s">
        <v>7172</v>
      </c>
      <c r="CO2399" s="584" t="s">
        <v>1918</v>
      </c>
      <c r="CP2399" s="584" t="s">
        <v>2325</v>
      </c>
      <c r="CQ2399" s="584" t="s">
        <v>7173</v>
      </c>
      <c r="CR2399" s="584" t="s">
        <v>7173</v>
      </c>
      <c r="CS2399" s="584" t="s">
        <v>1890</v>
      </c>
      <c r="CT2399" s="584" t="s">
        <v>7167</v>
      </c>
      <c r="CU2399" s="584" t="s">
        <v>1892</v>
      </c>
      <c r="CV2399" s="585" t="s">
        <v>1893</v>
      </c>
    </row>
    <row r="2400" spans="91:100" x14ac:dyDescent="0.25">
      <c r="CM2400" s="582"/>
      <c r="CN2400" s="584" t="s">
        <v>7174</v>
      </c>
      <c r="CO2400" s="584" t="s">
        <v>1918</v>
      </c>
      <c r="CP2400" s="584" t="s">
        <v>2325</v>
      </c>
      <c r="CQ2400" s="584" t="s">
        <v>7175</v>
      </c>
      <c r="CR2400" s="584" t="s">
        <v>7175</v>
      </c>
      <c r="CS2400" s="584" t="s">
        <v>1890</v>
      </c>
      <c r="CT2400" s="584" t="s">
        <v>7167</v>
      </c>
      <c r="CU2400" s="584" t="s">
        <v>1892</v>
      </c>
      <c r="CV2400" s="585" t="s">
        <v>1893</v>
      </c>
    </row>
    <row r="2401" spans="91:100" x14ac:dyDescent="0.25">
      <c r="CM2401" s="582"/>
      <c r="CN2401" s="584" t="s">
        <v>7176</v>
      </c>
      <c r="CO2401" s="584" t="s">
        <v>1918</v>
      </c>
      <c r="CP2401" s="584" t="s">
        <v>2325</v>
      </c>
      <c r="CQ2401" s="584" t="s">
        <v>7177</v>
      </c>
      <c r="CR2401" s="584" t="s">
        <v>7177</v>
      </c>
      <c r="CS2401" s="584" t="s">
        <v>1890</v>
      </c>
      <c r="CT2401" s="584" t="s">
        <v>7167</v>
      </c>
      <c r="CU2401" s="584" t="s">
        <v>1892</v>
      </c>
      <c r="CV2401" s="585" t="s">
        <v>1893</v>
      </c>
    </row>
    <row r="2402" spans="91:100" x14ac:dyDescent="0.25">
      <c r="CM2402" s="582"/>
      <c r="CN2402" s="584" t="s">
        <v>7178</v>
      </c>
      <c r="CO2402" s="584" t="s">
        <v>1918</v>
      </c>
      <c r="CP2402" s="584" t="s">
        <v>2325</v>
      </c>
      <c r="CQ2402" s="584" t="s">
        <v>2496</v>
      </c>
      <c r="CR2402" s="584" t="s">
        <v>2497</v>
      </c>
      <c r="CS2402" s="584" t="s">
        <v>1978</v>
      </c>
      <c r="CT2402" s="584" t="s">
        <v>2327</v>
      </c>
      <c r="CU2402" s="584" t="s">
        <v>1892</v>
      </c>
      <c r="CV2402" s="585" t="s">
        <v>1980</v>
      </c>
    </row>
    <row r="2403" spans="91:100" x14ac:dyDescent="0.25">
      <c r="CM2403" s="582"/>
      <c r="CN2403" s="584" t="s">
        <v>7179</v>
      </c>
      <c r="CO2403" s="584" t="s">
        <v>1918</v>
      </c>
      <c r="CP2403" s="584" t="s">
        <v>2325</v>
      </c>
      <c r="CQ2403" s="584" t="s">
        <v>2499</v>
      </c>
      <c r="CR2403" s="584" t="s">
        <v>2500</v>
      </c>
      <c r="CS2403" s="584" t="s">
        <v>1890</v>
      </c>
      <c r="CT2403" s="584" t="s">
        <v>7167</v>
      </c>
      <c r="CU2403" s="584" t="s">
        <v>1892</v>
      </c>
      <c r="CV2403" s="585" t="s">
        <v>1893</v>
      </c>
    </row>
    <row r="2404" spans="91:100" x14ac:dyDescent="0.25">
      <c r="CM2404" s="582"/>
      <c r="CN2404" s="584" t="s">
        <v>7180</v>
      </c>
      <c r="CO2404" s="584" t="s">
        <v>1918</v>
      </c>
      <c r="CP2404" s="584" t="s">
        <v>2325</v>
      </c>
      <c r="CQ2404" s="584" t="s">
        <v>2502</v>
      </c>
      <c r="CR2404" s="584" t="s">
        <v>2503</v>
      </c>
      <c r="CS2404" s="584" t="s">
        <v>1890</v>
      </c>
      <c r="CT2404" s="584" t="s">
        <v>7167</v>
      </c>
      <c r="CU2404" s="584" t="s">
        <v>1892</v>
      </c>
      <c r="CV2404" s="585" t="s">
        <v>1893</v>
      </c>
    </row>
    <row r="2405" spans="91:100" x14ac:dyDescent="0.25">
      <c r="CM2405" s="582"/>
      <c r="CN2405" s="584" t="s">
        <v>7181</v>
      </c>
      <c r="CO2405" s="584" t="s">
        <v>1918</v>
      </c>
      <c r="CP2405" s="584" t="s">
        <v>2325</v>
      </c>
      <c r="CQ2405" s="584" t="s">
        <v>2505</v>
      </c>
      <c r="CR2405" s="584" t="s">
        <v>2506</v>
      </c>
      <c r="CS2405" s="584" t="s">
        <v>1978</v>
      </c>
      <c r="CT2405" s="584" t="s">
        <v>2327</v>
      </c>
      <c r="CU2405" s="584" t="s">
        <v>1892</v>
      </c>
      <c r="CV2405" s="585" t="s">
        <v>1980</v>
      </c>
    </row>
    <row r="2406" spans="91:100" x14ac:dyDescent="0.25">
      <c r="CM2406" s="582"/>
      <c r="CN2406" s="584" t="s">
        <v>7182</v>
      </c>
      <c r="CO2406" s="584" t="s">
        <v>1918</v>
      </c>
      <c r="CP2406" s="584" t="s">
        <v>2325</v>
      </c>
      <c r="CQ2406" s="584" t="s">
        <v>2508</v>
      </c>
      <c r="CR2406" s="584" t="s">
        <v>2509</v>
      </c>
      <c r="CS2406" s="584" t="s">
        <v>1978</v>
      </c>
      <c r="CT2406" s="584" t="s">
        <v>2327</v>
      </c>
      <c r="CU2406" s="584" t="s">
        <v>1892</v>
      </c>
      <c r="CV2406" s="585" t="s">
        <v>1980</v>
      </c>
    </row>
    <row r="2407" spans="91:100" x14ac:dyDescent="0.25">
      <c r="CM2407" s="582"/>
      <c r="CN2407" s="584" t="s">
        <v>7183</v>
      </c>
      <c r="CO2407" s="584" t="s">
        <v>1918</v>
      </c>
      <c r="CP2407" s="584" t="s">
        <v>2325</v>
      </c>
      <c r="CQ2407" s="584" t="s">
        <v>2511</v>
      </c>
      <c r="CR2407" s="584" t="s">
        <v>2512</v>
      </c>
      <c r="CS2407" s="584" t="s">
        <v>1978</v>
      </c>
      <c r="CT2407" s="584" t="s">
        <v>2327</v>
      </c>
      <c r="CU2407" s="584" t="s">
        <v>1892</v>
      </c>
      <c r="CV2407" s="585" t="s">
        <v>1980</v>
      </c>
    </row>
    <row r="2408" spans="91:100" x14ac:dyDescent="0.25">
      <c r="CM2408" s="582"/>
      <c r="CN2408" s="584" t="s">
        <v>7184</v>
      </c>
      <c r="CO2408" s="584" t="s">
        <v>1918</v>
      </c>
      <c r="CP2408" s="584" t="s">
        <v>2325</v>
      </c>
      <c r="CQ2408" s="584" t="s">
        <v>2514</v>
      </c>
      <c r="CR2408" s="584" t="s">
        <v>2515</v>
      </c>
      <c r="CS2408" s="584" t="s">
        <v>1890</v>
      </c>
      <c r="CT2408" s="584" t="s">
        <v>7167</v>
      </c>
      <c r="CU2408" s="584" t="s">
        <v>1892</v>
      </c>
      <c r="CV2408" s="585" t="s">
        <v>1893</v>
      </c>
    </row>
    <row r="2409" spans="91:100" x14ac:dyDescent="0.25">
      <c r="CM2409" s="582"/>
      <c r="CN2409" s="584" t="s">
        <v>7185</v>
      </c>
      <c r="CO2409" s="584" t="s">
        <v>1918</v>
      </c>
      <c r="CP2409" s="584" t="s">
        <v>2325</v>
      </c>
      <c r="CQ2409" s="584" t="s">
        <v>7186</v>
      </c>
      <c r="CR2409" s="584" t="s">
        <v>7186</v>
      </c>
      <c r="CS2409" s="584" t="s">
        <v>1890</v>
      </c>
      <c r="CT2409" s="584" t="s">
        <v>7167</v>
      </c>
      <c r="CU2409" s="584" t="s">
        <v>1892</v>
      </c>
      <c r="CV2409" s="585" t="s">
        <v>1893</v>
      </c>
    </row>
    <row r="2410" spans="91:100" x14ac:dyDescent="0.25">
      <c r="CM2410" s="582"/>
      <c r="CN2410" s="584" t="s">
        <v>7187</v>
      </c>
      <c r="CO2410" s="584" t="s">
        <v>1918</v>
      </c>
      <c r="CP2410" s="584" t="s">
        <v>2325</v>
      </c>
      <c r="CQ2410" s="584" t="s">
        <v>7188</v>
      </c>
      <c r="CR2410" s="584" t="s">
        <v>7189</v>
      </c>
      <c r="CS2410" s="584" t="s">
        <v>1890</v>
      </c>
      <c r="CT2410" s="584" t="s">
        <v>7167</v>
      </c>
      <c r="CU2410" s="584" t="s">
        <v>1892</v>
      </c>
      <c r="CV2410" s="585" t="s">
        <v>1893</v>
      </c>
    </row>
    <row r="2411" spans="91:100" x14ac:dyDescent="0.25">
      <c r="CM2411" s="582"/>
      <c r="CN2411" s="584" t="s">
        <v>7190</v>
      </c>
      <c r="CO2411" s="584" t="s">
        <v>1918</v>
      </c>
      <c r="CP2411" s="584" t="s">
        <v>2325</v>
      </c>
      <c r="CQ2411" s="584" t="s">
        <v>7191</v>
      </c>
      <c r="CR2411" s="584" t="s">
        <v>7191</v>
      </c>
      <c r="CS2411" s="584" t="s">
        <v>1890</v>
      </c>
      <c r="CT2411" s="584" t="s">
        <v>7167</v>
      </c>
      <c r="CU2411" s="584" t="s">
        <v>1892</v>
      </c>
      <c r="CV2411" s="585" t="s">
        <v>1893</v>
      </c>
    </row>
    <row r="2412" spans="91:100" x14ac:dyDescent="0.25">
      <c r="CM2412" s="582"/>
      <c r="CN2412" s="584" t="s">
        <v>7192</v>
      </c>
      <c r="CO2412" s="584" t="s">
        <v>1918</v>
      </c>
      <c r="CP2412" s="584" t="s">
        <v>2535</v>
      </c>
      <c r="CQ2412" s="584" t="s">
        <v>4972</v>
      </c>
      <c r="CR2412" s="584" t="s">
        <v>4972</v>
      </c>
      <c r="CS2412" s="584" t="s">
        <v>1890</v>
      </c>
      <c r="CT2412" s="584" t="s">
        <v>4970</v>
      </c>
      <c r="CU2412" s="584" t="s">
        <v>1892</v>
      </c>
      <c r="CV2412" s="585" t="s">
        <v>1893</v>
      </c>
    </row>
    <row r="2413" spans="91:100" x14ac:dyDescent="0.25">
      <c r="CM2413" s="582"/>
      <c r="CN2413" s="584" t="s">
        <v>7193</v>
      </c>
      <c r="CO2413" s="584" t="s">
        <v>1918</v>
      </c>
      <c r="CP2413" s="584" t="s">
        <v>2535</v>
      </c>
      <c r="CQ2413" s="584" t="s">
        <v>4979</v>
      </c>
      <c r="CR2413" s="584" t="s">
        <v>4979</v>
      </c>
      <c r="CS2413" s="584" t="s">
        <v>1890</v>
      </c>
      <c r="CT2413" s="584" t="s">
        <v>4970</v>
      </c>
      <c r="CU2413" s="584" t="s">
        <v>1892</v>
      </c>
      <c r="CV2413" s="585" t="s">
        <v>1893</v>
      </c>
    </row>
    <row r="2414" spans="91:100" x14ac:dyDescent="0.25">
      <c r="CM2414" s="582"/>
      <c r="CN2414" s="584" t="s">
        <v>7194</v>
      </c>
      <c r="CO2414" s="584" t="s">
        <v>1918</v>
      </c>
      <c r="CP2414" s="584" t="s">
        <v>2535</v>
      </c>
      <c r="CQ2414" s="584" t="s">
        <v>7195</v>
      </c>
      <c r="CR2414" s="584" t="s">
        <v>7196</v>
      </c>
      <c r="CS2414" s="584" t="s">
        <v>1890</v>
      </c>
      <c r="CT2414" s="584" t="s">
        <v>4970</v>
      </c>
      <c r="CU2414" s="584" t="s">
        <v>1892</v>
      </c>
      <c r="CV2414" s="585" t="s">
        <v>1893</v>
      </c>
    </row>
    <row r="2415" spans="91:100" x14ac:dyDescent="0.25">
      <c r="CM2415" s="582"/>
      <c r="CN2415" s="584" t="s">
        <v>7197</v>
      </c>
      <c r="CO2415" s="584" t="s">
        <v>1918</v>
      </c>
      <c r="CP2415" s="584" t="s">
        <v>2535</v>
      </c>
      <c r="CQ2415" s="584" t="s">
        <v>7198</v>
      </c>
      <c r="CR2415" s="584" t="s">
        <v>7199</v>
      </c>
      <c r="CS2415" s="584" t="s">
        <v>1890</v>
      </c>
      <c r="CT2415" s="584" t="s">
        <v>4970</v>
      </c>
      <c r="CU2415" s="584" t="s">
        <v>1892</v>
      </c>
      <c r="CV2415" s="585" t="s">
        <v>1893</v>
      </c>
    </row>
    <row r="2416" spans="91:100" x14ac:dyDescent="0.25">
      <c r="CM2416" s="582"/>
      <c r="CN2416" s="584" t="s">
        <v>7200</v>
      </c>
      <c r="CO2416" s="584" t="s">
        <v>1918</v>
      </c>
      <c r="CP2416" s="584" t="s">
        <v>2535</v>
      </c>
      <c r="CQ2416" s="584" t="s">
        <v>4604</v>
      </c>
      <c r="CR2416" s="584" t="s">
        <v>4604</v>
      </c>
      <c r="CS2416" s="584" t="s">
        <v>1890</v>
      </c>
      <c r="CT2416" s="584" t="s">
        <v>4970</v>
      </c>
      <c r="CU2416" s="584" t="s">
        <v>1892</v>
      </c>
      <c r="CV2416" s="585" t="s">
        <v>1893</v>
      </c>
    </row>
    <row r="2417" spans="92:100" ht="25.5" x14ac:dyDescent="0.25">
      <c r="CN2417" s="584" t="s">
        <v>7201</v>
      </c>
      <c r="CO2417" s="584" t="s">
        <v>1887</v>
      </c>
      <c r="CP2417" s="584" t="s">
        <v>2325</v>
      </c>
      <c r="CQ2417" s="584" t="s">
        <v>2055</v>
      </c>
      <c r="CR2417" s="584" t="s">
        <v>2055</v>
      </c>
      <c r="CS2417" s="584" t="s">
        <v>1890</v>
      </c>
      <c r="CT2417" s="584" t="s">
        <v>7202</v>
      </c>
      <c r="CU2417" s="584" t="s">
        <v>1892</v>
      </c>
      <c r="CV2417" s="585" t="s">
        <v>1980</v>
      </c>
    </row>
    <row r="2418" spans="92:100" x14ac:dyDescent="0.25">
      <c r="CN2418" s="584" t="s">
        <v>7203</v>
      </c>
      <c r="CO2418" s="584" t="s">
        <v>1887</v>
      </c>
      <c r="CP2418" s="584" t="s">
        <v>1888</v>
      </c>
      <c r="CQ2418" s="584" t="s">
        <v>7204</v>
      </c>
      <c r="CR2418" s="584" t="s">
        <v>7204</v>
      </c>
      <c r="CS2418" s="584" t="s">
        <v>7205</v>
      </c>
      <c r="CT2418" s="584" t="s">
        <v>7206</v>
      </c>
      <c r="CU2418" s="584" t="s">
        <v>1892</v>
      </c>
      <c r="CV2418" s="585" t="s">
        <v>1980</v>
      </c>
    </row>
    <row r="2419" spans="92:100" x14ac:dyDescent="0.25">
      <c r="CN2419" s="584" t="s">
        <v>7207</v>
      </c>
      <c r="CO2419" s="584" t="s">
        <v>1887</v>
      </c>
      <c r="CP2419" s="584" t="s">
        <v>1888</v>
      </c>
      <c r="CQ2419" s="584" t="s">
        <v>7208</v>
      </c>
      <c r="CR2419" s="584" t="s">
        <v>7208</v>
      </c>
      <c r="CS2419" s="584" t="s">
        <v>7205</v>
      </c>
      <c r="CT2419" s="584" t="s">
        <v>7209</v>
      </c>
      <c r="CU2419" s="584" t="s">
        <v>1892</v>
      </c>
      <c r="CV2419" s="585" t="s">
        <v>1980</v>
      </c>
    </row>
    <row r="2420" spans="92:100" x14ac:dyDescent="0.25">
      <c r="CN2420" s="584" t="s">
        <v>7210</v>
      </c>
      <c r="CO2420" s="584" t="s">
        <v>1887</v>
      </c>
      <c r="CP2420" s="584" t="s">
        <v>1888</v>
      </c>
      <c r="CQ2420" s="584" t="s">
        <v>7211</v>
      </c>
      <c r="CR2420" s="584" t="s">
        <v>7211</v>
      </c>
      <c r="CS2420" s="584" t="s">
        <v>7205</v>
      </c>
      <c r="CT2420" s="584" t="s">
        <v>7212</v>
      </c>
      <c r="CU2420" s="584" t="s">
        <v>1892</v>
      </c>
      <c r="CV2420" s="585" t="s">
        <v>1980</v>
      </c>
    </row>
    <row r="2421" spans="92:100" x14ac:dyDescent="0.25">
      <c r="CN2421" s="584" t="s">
        <v>7213</v>
      </c>
      <c r="CO2421" s="584" t="s">
        <v>1910</v>
      </c>
      <c r="CP2421" s="584" t="s">
        <v>1888</v>
      </c>
      <c r="CQ2421" s="584" t="s">
        <v>7214</v>
      </c>
      <c r="CR2421" s="584" t="s">
        <v>7214</v>
      </c>
      <c r="CS2421" s="584" t="s">
        <v>7205</v>
      </c>
      <c r="CT2421" s="584" t="s">
        <v>7215</v>
      </c>
      <c r="CU2421" s="584" t="s">
        <v>1892</v>
      </c>
      <c r="CV2421" s="585" t="s">
        <v>1980</v>
      </c>
    </row>
    <row r="2422" spans="92:100" x14ac:dyDescent="0.25">
      <c r="CN2422" s="584" t="s">
        <v>7216</v>
      </c>
      <c r="CO2422" s="584" t="s">
        <v>1910</v>
      </c>
      <c r="CP2422" s="584" t="s">
        <v>1888</v>
      </c>
      <c r="CQ2422" s="584" t="s">
        <v>7217</v>
      </c>
      <c r="CR2422" s="584" t="s">
        <v>7217</v>
      </c>
      <c r="CS2422" s="584" t="s">
        <v>7205</v>
      </c>
      <c r="CT2422" s="584" t="s">
        <v>7218</v>
      </c>
      <c r="CU2422" s="584" t="s">
        <v>1892</v>
      </c>
      <c r="CV2422" s="585" t="s">
        <v>1980</v>
      </c>
    </row>
    <row r="2423" spans="92:100" x14ac:dyDescent="0.25">
      <c r="CN2423" s="584" t="s">
        <v>7219</v>
      </c>
      <c r="CO2423" s="584" t="s">
        <v>1912</v>
      </c>
      <c r="CP2423" s="584" t="s">
        <v>1888</v>
      </c>
      <c r="CQ2423" s="584" t="s">
        <v>7220</v>
      </c>
      <c r="CR2423" s="584" t="s">
        <v>7220</v>
      </c>
      <c r="CS2423" s="584" t="s">
        <v>7221</v>
      </c>
      <c r="CT2423" s="584" t="s">
        <v>7222</v>
      </c>
      <c r="CU2423" s="584" t="s">
        <v>1892</v>
      </c>
      <c r="CV2423" s="585" t="s">
        <v>1980</v>
      </c>
    </row>
    <row r="2424" spans="92:100" x14ac:dyDescent="0.25">
      <c r="CN2424" s="584" t="s">
        <v>7223</v>
      </c>
      <c r="CO2424" s="584" t="s">
        <v>1912</v>
      </c>
      <c r="CP2424" s="584" t="s">
        <v>1888</v>
      </c>
      <c r="CQ2424" s="584" t="s">
        <v>7224</v>
      </c>
      <c r="CR2424" s="584" t="s">
        <v>7224</v>
      </c>
      <c r="CS2424" s="584" t="s">
        <v>7221</v>
      </c>
      <c r="CT2424" s="584" t="s">
        <v>7225</v>
      </c>
      <c r="CU2424" s="584" t="s">
        <v>1892</v>
      </c>
      <c r="CV2424" s="585" t="s">
        <v>1980</v>
      </c>
    </row>
    <row r="2425" spans="92:100" x14ac:dyDescent="0.25">
      <c r="CN2425" s="584"/>
      <c r="CO2425" s="584"/>
      <c r="CP2425" s="584"/>
      <c r="CQ2425" s="584" t="s">
        <v>7226</v>
      </c>
      <c r="CR2425" s="584" t="s">
        <v>7227</v>
      </c>
      <c r="CS2425" s="584" t="s">
        <v>1890</v>
      </c>
      <c r="CT2425" s="584" t="s">
        <v>7228</v>
      </c>
      <c r="CU2425" s="584" t="s">
        <v>2185</v>
      </c>
      <c r="CV2425" s="585" t="s">
        <v>1980</v>
      </c>
    </row>
    <row r="2426" spans="92:100" x14ac:dyDescent="0.25">
      <c r="CN2426" s="584"/>
      <c r="CO2426" s="584"/>
      <c r="CP2426" s="584"/>
      <c r="CQ2426" s="584" t="s">
        <v>7229</v>
      </c>
      <c r="CR2426" s="584" t="s">
        <v>7230</v>
      </c>
      <c r="CS2426" s="584" t="s">
        <v>1890</v>
      </c>
      <c r="CT2426" s="584" t="s">
        <v>7231</v>
      </c>
      <c r="CU2426" s="584" t="s">
        <v>2185</v>
      </c>
      <c r="CV2426" s="585" t="s">
        <v>1980</v>
      </c>
    </row>
    <row r="2427" spans="92:100" x14ac:dyDescent="0.25">
      <c r="CN2427" s="584"/>
      <c r="CO2427" s="584"/>
      <c r="CP2427" s="584"/>
      <c r="CQ2427" s="584" t="s">
        <v>7232</v>
      </c>
      <c r="CR2427" s="584" t="s">
        <v>7233</v>
      </c>
      <c r="CS2427" s="584" t="s">
        <v>1890</v>
      </c>
      <c r="CT2427" s="584" t="s">
        <v>7234</v>
      </c>
      <c r="CU2427" s="584" t="s">
        <v>2185</v>
      </c>
      <c r="CV2427" s="585" t="s">
        <v>1980</v>
      </c>
    </row>
    <row r="2428" spans="92:100" x14ac:dyDescent="0.25">
      <c r="CN2428" s="584"/>
      <c r="CO2428" s="584"/>
      <c r="CP2428" s="584"/>
      <c r="CQ2428" s="584" t="s">
        <v>7235</v>
      </c>
      <c r="CR2428" s="584" t="s">
        <v>7236</v>
      </c>
      <c r="CS2428" s="584" t="s">
        <v>1890</v>
      </c>
      <c r="CT2428" s="584" t="s">
        <v>7231</v>
      </c>
      <c r="CU2428" s="584" t="s">
        <v>2185</v>
      </c>
      <c r="CV2428" s="585" t="s">
        <v>1980</v>
      </c>
    </row>
    <row r="2429" spans="92:100" ht="25.5" x14ac:dyDescent="0.25">
      <c r="CN2429" s="584"/>
      <c r="CO2429" s="584"/>
      <c r="CP2429" s="584"/>
      <c r="CQ2429" s="584" t="s">
        <v>7237</v>
      </c>
      <c r="CR2429" s="584" t="s">
        <v>7238</v>
      </c>
      <c r="CS2429" s="584" t="s">
        <v>1890</v>
      </c>
      <c r="CT2429" s="584" t="s">
        <v>7239</v>
      </c>
      <c r="CU2429" s="584" t="s">
        <v>2185</v>
      </c>
      <c r="CV2429" s="585" t="s">
        <v>1980</v>
      </c>
    </row>
    <row r="2430" spans="92:100" x14ac:dyDescent="0.25">
      <c r="CN2430" s="584"/>
      <c r="CO2430" s="584"/>
      <c r="CP2430" s="584"/>
      <c r="CQ2430" s="584" t="s">
        <v>2182</v>
      </c>
      <c r="CR2430" s="584" t="s">
        <v>7240</v>
      </c>
      <c r="CS2430" s="584" t="s">
        <v>1890</v>
      </c>
      <c r="CT2430" s="584" t="s">
        <v>7228</v>
      </c>
      <c r="CU2430" s="584" t="s">
        <v>2185</v>
      </c>
      <c r="CV2430" s="585" t="s">
        <v>1980</v>
      </c>
    </row>
    <row r="2431" spans="92:100" x14ac:dyDescent="0.25">
      <c r="CN2431" s="584"/>
      <c r="CO2431" s="584"/>
      <c r="CP2431" s="584"/>
      <c r="CQ2431" s="584" t="s">
        <v>7241</v>
      </c>
      <c r="CR2431" s="584" t="s">
        <v>7242</v>
      </c>
      <c r="CS2431" s="584" t="s">
        <v>1890</v>
      </c>
      <c r="CT2431" s="584" t="s">
        <v>7231</v>
      </c>
      <c r="CU2431" s="584" t="s">
        <v>2185</v>
      </c>
      <c r="CV2431" s="585" t="s">
        <v>1980</v>
      </c>
    </row>
    <row r="2432" spans="92:100" x14ac:dyDescent="0.25">
      <c r="CN2432" s="584"/>
      <c r="CO2432" s="584"/>
      <c r="CP2432" s="584"/>
      <c r="CQ2432" s="584" t="s">
        <v>7243</v>
      </c>
      <c r="CR2432" s="584" t="s">
        <v>7244</v>
      </c>
      <c r="CS2432" s="584" t="s">
        <v>1890</v>
      </c>
      <c r="CT2432" s="584" t="s">
        <v>7234</v>
      </c>
      <c r="CU2432" s="584" t="s">
        <v>2185</v>
      </c>
      <c r="CV2432" s="585" t="s">
        <v>1980</v>
      </c>
    </row>
    <row r="2433" spans="92:100" x14ac:dyDescent="0.25">
      <c r="CN2433" s="584"/>
      <c r="CO2433" s="584"/>
      <c r="CP2433" s="584"/>
      <c r="CQ2433" s="584" t="s">
        <v>7245</v>
      </c>
      <c r="CR2433" s="584" t="s">
        <v>7246</v>
      </c>
      <c r="CS2433" s="584" t="s">
        <v>1890</v>
      </c>
      <c r="CT2433" s="584" t="s">
        <v>7231</v>
      </c>
      <c r="CU2433" s="584" t="s">
        <v>2185</v>
      </c>
      <c r="CV2433" s="585" t="s">
        <v>1980</v>
      </c>
    </row>
    <row r="2434" spans="92:100" x14ac:dyDescent="0.25">
      <c r="CN2434" s="584"/>
      <c r="CO2434" s="584"/>
      <c r="CP2434" s="584"/>
      <c r="CQ2434" s="584" t="s">
        <v>7247</v>
      </c>
      <c r="CR2434" s="584" t="s">
        <v>7248</v>
      </c>
      <c r="CS2434" s="584" t="s">
        <v>1890</v>
      </c>
      <c r="CT2434" s="584" t="s">
        <v>7228</v>
      </c>
      <c r="CU2434" s="584" t="s">
        <v>2185</v>
      </c>
      <c r="CV2434" s="585" t="s">
        <v>1980</v>
      </c>
    </row>
    <row r="2435" spans="92:100" x14ac:dyDescent="0.25">
      <c r="CN2435" s="584"/>
      <c r="CO2435" s="584"/>
      <c r="CP2435" s="584"/>
      <c r="CQ2435" s="584" t="s">
        <v>7249</v>
      </c>
      <c r="CR2435" s="584" t="s">
        <v>7250</v>
      </c>
      <c r="CS2435" s="584" t="s">
        <v>1890</v>
      </c>
      <c r="CT2435" s="584" t="s">
        <v>7231</v>
      </c>
      <c r="CU2435" s="584" t="s">
        <v>2185</v>
      </c>
      <c r="CV2435" s="585" t="s">
        <v>1980</v>
      </c>
    </row>
    <row r="2436" spans="92:100" x14ac:dyDescent="0.25">
      <c r="CN2436" s="584"/>
      <c r="CO2436" s="584"/>
      <c r="CP2436" s="584"/>
      <c r="CQ2436" s="584" t="s">
        <v>7251</v>
      </c>
      <c r="CR2436" s="584" t="s">
        <v>7252</v>
      </c>
      <c r="CS2436" s="584" t="s">
        <v>1890</v>
      </c>
      <c r="CT2436" s="584" t="s">
        <v>7234</v>
      </c>
      <c r="CU2436" s="584" t="s">
        <v>2185</v>
      </c>
      <c r="CV2436" s="585" t="s">
        <v>1980</v>
      </c>
    </row>
    <row r="2437" spans="92:100" x14ac:dyDescent="0.25">
      <c r="CN2437" s="584"/>
      <c r="CO2437" s="584"/>
      <c r="CP2437" s="584"/>
      <c r="CQ2437" s="584" t="s">
        <v>7253</v>
      </c>
      <c r="CR2437" s="584" t="s">
        <v>7254</v>
      </c>
      <c r="CS2437" s="584" t="s">
        <v>1890</v>
      </c>
      <c r="CT2437" s="584" t="s">
        <v>7231</v>
      </c>
      <c r="CU2437" s="584" t="s">
        <v>2185</v>
      </c>
      <c r="CV2437" s="585" t="s">
        <v>1980</v>
      </c>
    </row>
    <row r="2438" spans="92:100" x14ac:dyDescent="0.25">
      <c r="CN2438" s="584"/>
      <c r="CO2438" s="584"/>
      <c r="CP2438" s="584"/>
      <c r="CQ2438" s="584" t="s">
        <v>6628</v>
      </c>
      <c r="CR2438" s="584" t="s">
        <v>6628</v>
      </c>
      <c r="CS2438" s="584" t="s">
        <v>1890</v>
      </c>
      <c r="CT2438" s="584" t="s">
        <v>7255</v>
      </c>
      <c r="CU2438" s="584" t="s">
        <v>2329</v>
      </c>
      <c r="CV2438" s="585" t="s">
        <v>1980</v>
      </c>
    </row>
    <row r="2439" spans="92:100" x14ac:dyDescent="0.25">
      <c r="CN2439" s="584"/>
      <c r="CO2439" s="584"/>
      <c r="CP2439" s="584"/>
      <c r="CQ2439" s="584" t="s">
        <v>7256</v>
      </c>
      <c r="CR2439" s="584" t="s">
        <v>7256</v>
      </c>
      <c r="CS2439" s="584" t="s">
        <v>1890</v>
      </c>
      <c r="CT2439" s="584" t="s">
        <v>7255</v>
      </c>
      <c r="CU2439" s="584" t="s">
        <v>2329</v>
      </c>
      <c r="CV2439" s="585" t="s">
        <v>1980</v>
      </c>
    </row>
    <row r="2440" spans="92:100" ht="25.5" x14ac:dyDescent="0.25">
      <c r="CN2440" s="584"/>
      <c r="CO2440" s="584"/>
      <c r="CP2440" s="584"/>
      <c r="CQ2440" s="584" t="s">
        <v>6615</v>
      </c>
      <c r="CR2440" s="584" t="s">
        <v>6615</v>
      </c>
      <c r="CS2440" s="584" t="s">
        <v>1890</v>
      </c>
      <c r="CT2440" s="584" t="s">
        <v>7257</v>
      </c>
      <c r="CU2440" s="584" t="s">
        <v>2329</v>
      </c>
      <c r="CV2440" s="585" t="s">
        <v>1980</v>
      </c>
    </row>
    <row r="2441" spans="92:100" ht="25.5" x14ac:dyDescent="0.25">
      <c r="CN2441" s="584"/>
      <c r="CO2441" s="584"/>
      <c r="CP2441" s="584"/>
      <c r="CQ2441" s="584" t="s">
        <v>6552</v>
      </c>
      <c r="CR2441" s="584" t="s">
        <v>6552</v>
      </c>
      <c r="CS2441" s="584" t="s">
        <v>1890</v>
      </c>
      <c r="CT2441" s="584" t="s">
        <v>7257</v>
      </c>
      <c r="CU2441" s="584" t="s">
        <v>2329</v>
      </c>
      <c r="CV2441" s="585" t="s">
        <v>1980</v>
      </c>
    </row>
    <row r="2442" spans="92:100" ht="25.5" x14ac:dyDescent="0.25">
      <c r="CN2442" s="584"/>
      <c r="CO2442" s="584"/>
      <c r="CP2442" s="584"/>
      <c r="CQ2442" s="584" t="s">
        <v>6560</v>
      </c>
      <c r="CR2442" s="584" t="s">
        <v>6561</v>
      </c>
      <c r="CS2442" s="584" t="s">
        <v>1890</v>
      </c>
      <c r="CT2442" s="584" t="s">
        <v>7257</v>
      </c>
      <c r="CU2442" s="584" t="s">
        <v>2329</v>
      </c>
      <c r="CV2442" s="585" t="s">
        <v>1980</v>
      </c>
    </row>
    <row r="2443" spans="92:100" ht="25.5" x14ac:dyDescent="0.25">
      <c r="CN2443" s="584"/>
      <c r="CO2443" s="584"/>
      <c r="CP2443" s="584"/>
      <c r="CQ2443" s="584" t="s">
        <v>6548</v>
      </c>
      <c r="CR2443" s="584" t="s">
        <v>6548</v>
      </c>
      <c r="CS2443" s="584" t="s">
        <v>1890</v>
      </c>
      <c r="CT2443" s="584" t="s">
        <v>7257</v>
      </c>
      <c r="CU2443" s="584" t="s">
        <v>2329</v>
      </c>
      <c r="CV2443" s="585" t="s">
        <v>1980</v>
      </c>
    </row>
    <row r="2444" spans="92:100" ht="25.5" x14ac:dyDescent="0.25">
      <c r="CN2444" s="584"/>
      <c r="CO2444" s="584"/>
      <c r="CP2444" s="584"/>
      <c r="CQ2444" s="584" t="s">
        <v>6596</v>
      </c>
      <c r="CR2444" s="584" t="s">
        <v>6596</v>
      </c>
      <c r="CS2444" s="584" t="s">
        <v>1890</v>
      </c>
      <c r="CT2444" s="584" t="s">
        <v>7257</v>
      </c>
      <c r="CU2444" s="584" t="s">
        <v>2329</v>
      </c>
      <c r="CV2444" s="585" t="s">
        <v>1980</v>
      </c>
    </row>
    <row r="2445" spans="92:100" ht="25.5" x14ac:dyDescent="0.25">
      <c r="CN2445" s="584"/>
      <c r="CO2445" s="584"/>
      <c r="CP2445" s="584"/>
      <c r="CQ2445" s="584" t="s">
        <v>6591</v>
      </c>
      <c r="CR2445" s="584" t="s">
        <v>6591</v>
      </c>
      <c r="CS2445" s="584" t="s">
        <v>1890</v>
      </c>
      <c r="CT2445" s="584" t="s">
        <v>7257</v>
      </c>
      <c r="CU2445" s="584" t="s">
        <v>2329</v>
      </c>
      <c r="CV2445" s="585" t="s">
        <v>1980</v>
      </c>
    </row>
    <row r="2446" spans="92:100" ht="25.5" x14ac:dyDescent="0.25">
      <c r="CN2446" s="584"/>
      <c r="CO2446" s="584"/>
      <c r="CP2446" s="584"/>
      <c r="CQ2446" s="584" t="s">
        <v>6607</v>
      </c>
      <c r="CR2446" s="584" t="s">
        <v>6607</v>
      </c>
      <c r="CS2446" s="584" t="s">
        <v>1890</v>
      </c>
      <c r="CT2446" s="584" t="s">
        <v>7257</v>
      </c>
      <c r="CU2446" s="584" t="s">
        <v>2329</v>
      </c>
      <c r="CV2446" s="585" t="s">
        <v>1980</v>
      </c>
    </row>
    <row r="2447" spans="92:100" ht="25.5" x14ac:dyDescent="0.25">
      <c r="CN2447" s="584"/>
      <c r="CO2447" s="584"/>
      <c r="CP2447" s="584"/>
      <c r="CQ2447" s="584" t="s">
        <v>6633</v>
      </c>
      <c r="CR2447" s="584" t="s">
        <v>6634</v>
      </c>
      <c r="CS2447" s="584" t="s">
        <v>1890</v>
      </c>
      <c r="CT2447" s="584" t="s">
        <v>7257</v>
      </c>
      <c r="CU2447" s="584" t="s">
        <v>2329</v>
      </c>
      <c r="CV2447" s="585" t="s">
        <v>1980</v>
      </c>
    </row>
    <row r="2448" spans="92:100" ht="25.5" x14ac:dyDescent="0.25">
      <c r="CN2448" s="584"/>
      <c r="CO2448" s="584"/>
      <c r="CP2448" s="584"/>
      <c r="CQ2448" s="584" t="s">
        <v>6581</v>
      </c>
      <c r="CR2448" s="584" t="s">
        <v>6582</v>
      </c>
      <c r="CS2448" s="584" t="s">
        <v>1890</v>
      </c>
      <c r="CT2448" s="584" t="s">
        <v>7257</v>
      </c>
      <c r="CU2448" s="584" t="s">
        <v>2329</v>
      </c>
      <c r="CV2448" s="585" t="s">
        <v>1980</v>
      </c>
    </row>
    <row r="2449" spans="92:100" ht="25.5" x14ac:dyDescent="0.25">
      <c r="CN2449" s="584"/>
      <c r="CO2449" s="584"/>
      <c r="CP2449" s="584"/>
      <c r="CQ2449" s="584" t="s">
        <v>6613</v>
      </c>
      <c r="CR2449" s="584" t="s">
        <v>6613</v>
      </c>
      <c r="CS2449" s="584" t="s">
        <v>1890</v>
      </c>
      <c r="CT2449" s="584" t="s">
        <v>7257</v>
      </c>
      <c r="CU2449" s="584" t="s">
        <v>2329</v>
      </c>
      <c r="CV2449" s="585" t="s">
        <v>1980</v>
      </c>
    </row>
    <row r="2450" spans="92:100" ht="25.5" x14ac:dyDescent="0.25">
      <c r="CN2450" s="584"/>
      <c r="CO2450" s="584"/>
      <c r="CP2450" s="584"/>
      <c r="CQ2450" s="584" t="s">
        <v>6577</v>
      </c>
      <c r="CR2450" s="584" t="s">
        <v>6577</v>
      </c>
      <c r="CS2450" s="584" t="s">
        <v>1890</v>
      </c>
      <c r="CT2450" s="584" t="s">
        <v>7257</v>
      </c>
      <c r="CU2450" s="584" t="s">
        <v>2329</v>
      </c>
      <c r="CV2450" s="585" t="s">
        <v>1980</v>
      </c>
    </row>
    <row r="2451" spans="92:100" ht="25.5" x14ac:dyDescent="0.25">
      <c r="CN2451" s="584"/>
      <c r="CO2451" s="584"/>
      <c r="CP2451" s="584"/>
      <c r="CQ2451" s="584" t="s">
        <v>6605</v>
      </c>
      <c r="CR2451" s="584" t="s">
        <v>6605</v>
      </c>
      <c r="CS2451" s="584" t="s">
        <v>1890</v>
      </c>
      <c r="CT2451" s="584" t="s">
        <v>7257</v>
      </c>
      <c r="CU2451" s="584" t="s">
        <v>2329</v>
      </c>
      <c r="CV2451" s="585" t="s">
        <v>1980</v>
      </c>
    </row>
    <row r="2452" spans="92:100" ht="25.5" x14ac:dyDescent="0.25">
      <c r="CN2452" s="584"/>
      <c r="CO2452" s="584"/>
      <c r="CP2452" s="584"/>
      <c r="CQ2452" s="584" t="s">
        <v>6611</v>
      </c>
      <c r="CR2452" s="584" t="s">
        <v>6611</v>
      </c>
      <c r="CS2452" s="584" t="s">
        <v>1890</v>
      </c>
      <c r="CT2452" s="584" t="s">
        <v>7257</v>
      </c>
      <c r="CU2452" s="584" t="s">
        <v>2329</v>
      </c>
      <c r="CV2452" s="585" t="s">
        <v>1980</v>
      </c>
    </row>
    <row r="2453" spans="92:100" ht="25.5" x14ac:dyDescent="0.25">
      <c r="CN2453" s="633"/>
      <c r="CO2453" s="633"/>
      <c r="CP2453" s="633"/>
      <c r="CQ2453" s="633" t="s">
        <v>6631</v>
      </c>
      <c r="CR2453" s="633" t="s">
        <v>6631</v>
      </c>
      <c r="CS2453" s="633" t="s">
        <v>1890</v>
      </c>
      <c r="CT2453" s="633" t="s">
        <v>7257</v>
      </c>
      <c r="CU2453" s="633" t="s">
        <v>2329</v>
      </c>
      <c r="CV2453" s="634" t="s">
        <v>1980</v>
      </c>
    </row>
  </sheetData>
  <mergeCells count="7">
    <mergeCell ref="A94:S94"/>
    <mergeCell ref="A1:S1"/>
    <mergeCell ref="A2:S2"/>
    <mergeCell ref="A3:S3"/>
    <mergeCell ref="B5:D5"/>
    <mergeCell ref="A70:S70"/>
    <mergeCell ref="A80:S80"/>
  </mergeCells>
  <conditionalFormatting sqref="E7:R66">
    <cfRule type="expression" dxfId="22" priority="1">
      <formula>E7="X"</formula>
    </cfRule>
    <cfRule type="expression" dxfId="21" priority="2">
      <formula>E7="?"</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2C15-A70A-4B95-880D-96092A36DDB9}">
  <dimension ref="A1:J173"/>
  <sheetViews>
    <sheetView workbookViewId="0">
      <selection activeCell="J152" sqref="J152:J172"/>
    </sheetView>
  </sheetViews>
  <sheetFormatPr baseColWidth="10" defaultRowHeight="15.75" x14ac:dyDescent="0.25"/>
  <cols>
    <col min="1" max="1" width="11" style="92"/>
    <col min="2" max="2" width="22.25" style="92" customWidth="1"/>
    <col min="3" max="3" width="42.25" style="92" customWidth="1"/>
    <col min="4" max="7" width="11" style="92"/>
    <col min="8" max="8" width="111.75" style="565" customWidth="1"/>
    <col min="9" max="9" width="11" style="92"/>
    <col min="10" max="10" width="6" style="92" customWidth="1"/>
    <col min="11" max="16384" width="11" style="92"/>
  </cols>
  <sheetData>
    <row r="1" spans="1:10" ht="21" customHeight="1" x14ac:dyDescent="0.25">
      <c r="A1" s="91"/>
      <c r="B1" s="91"/>
      <c r="C1" s="91"/>
      <c r="D1" s="91"/>
      <c r="E1" s="91"/>
      <c r="F1" s="91"/>
      <c r="G1" s="91"/>
      <c r="H1" s="563"/>
      <c r="J1" s="566">
        <v>1</v>
      </c>
    </row>
    <row r="2" spans="1:10" ht="21" customHeight="1" x14ac:dyDescent="0.25">
      <c r="A2" s="91"/>
      <c r="B2" s="93" t="s">
        <v>1392</v>
      </c>
      <c r="C2" s="91"/>
      <c r="D2" s="91"/>
      <c r="E2" s="91"/>
      <c r="F2" s="91"/>
      <c r="G2" s="91"/>
      <c r="H2" s="564"/>
      <c r="J2" s="566">
        <v>1</v>
      </c>
    </row>
    <row r="3" spans="1:10" ht="21" customHeight="1" x14ac:dyDescent="0.25">
      <c r="A3" s="91"/>
      <c r="B3" s="93"/>
      <c r="C3" s="91"/>
      <c r="D3" s="91"/>
      <c r="E3" s="91"/>
      <c r="F3" s="91"/>
      <c r="G3" s="91"/>
      <c r="H3" s="568" t="s">
        <v>1733</v>
      </c>
      <c r="J3" s="566">
        <v>1</v>
      </c>
    </row>
    <row r="4" spans="1:10" ht="21" customHeight="1" x14ac:dyDescent="0.25">
      <c r="A4" s="91"/>
      <c r="B4" s="93" t="s">
        <v>1393</v>
      </c>
      <c r="C4" s="91"/>
      <c r="D4" s="91"/>
      <c r="E4" s="91"/>
      <c r="F4" s="91"/>
      <c r="G4" s="91"/>
      <c r="H4" s="564"/>
      <c r="J4" s="566">
        <v>1</v>
      </c>
    </row>
    <row r="5" spans="1:10" ht="21" customHeight="1" x14ac:dyDescent="0.25">
      <c r="A5" s="91"/>
      <c r="B5" s="91"/>
      <c r="C5" s="91"/>
      <c r="D5" s="91"/>
      <c r="E5" s="91"/>
      <c r="F5" s="91"/>
      <c r="G5" s="91"/>
      <c r="H5" s="728" t="s">
        <v>1726</v>
      </c>
      <c r="J5" s="566">
        <v>1</v>
      </c>
    </row>
    <row r="6" spans="1:10" ht="21" customHeight="1" x14ac:dyDescent="0.25">
      <c r="A6" s="91"/>
      <c r="B6" s="94" t="s">
        <v>1394</v>
      </c>
      <c r="C6" s="91"/>
      <c r="D6" s="91"/>
      <c r="E6" s="91"/>
      <c r="F6" s="91"/>
      <c r="G6" s="91"/>
      <c r="H6" s="728"/>
      <c r="J6" s="566">
        <v>1</v>
      </c>
    </row>
    <row r="7" spans="1:10" ht="21" customHeight="1" x14ac:dyDescent="0.25">
      <c r="A7" s="91"/>
      <c r="B7" s="91" t="s">
        <v>1395</v>
      </c>
      <c r="C7" s="91"/>
      <c r="D7" s="91"/>
      <c r="E7" s="91"/>
      <c r="F7" s="91"/>
      <c r="G7" s="91"/>
      <c r="H7" s="728"/>
      <c r="J7" s="566">
        <v>1</v>
      </c>
    </row>
    <row r="8" spans="1:10" ht="21" customHeight="1" x14ac:dyDescent="0.25">
      <c r="A8" s="91"/>
      <c r="B8" s="91" t="s">
        <v>1396</v>
      </c>
      <c r="C8" s="91"/>
      <c r="D8" s="91"/>
      <c r="E8" s="91"/>
      <c r="F8" s="91"/>
      <c r="G8" s="91"/>
      <c r="H8" s="728"/>
      <c r="J8" s="566">
        <v>1</v>
      </c>
    </row>
    <row r="9" spans="1:10" ht="21" customHeight="1" x14ac:dyDescent="0.25">
      <c r="A9" s="91"/>
      <c r="B9" s="91" t="s">
        <v>1397</v>
      </c>
      <c r="C9" s="91"/>
      <c r="D9" s="91"/>
      <c r="E9" s="91"/>
      <c r="F9" s="91"/>
      <c r="G9" s="91"/>
      <c r="H9" t="s">
        <v>1734</v>
      </c>
      <c r="J9" s="566">
        <v>1</v>
      </c>
    </row>
    <row r="10" spans="1:10" ht="21" customHeight="1" x14ac:dyDescent="0.25">
      <c r="A10" s="91"/>
      <c r="B10" s="91"/>
      <c r="C10" s="91"/>
      <c r="D10" s="91"/>
      <c r="E10" s="91"/>
      <c r="F10" s="91"/>
      <c r="G10" s="91"/>
      <c r="H10" s="556" t="s">
        <v>1735</v>
      </c>
      <c r="J10" s="566">
        <v>1</v>
      </c>
    </row>
    <row r="11" spans="1:10" ht="21" customHeight="1" x14ac:dyDescent="0.25">
      <c r="A11" s="91"/>
      <c r="B11" s="95" t="s">
        <v>1398</v>
      </c>
      <c r="C11" s="91"/>
      <c r="D11" s="91"/>
      <c r="E11" s="91"/>
      <c r="F11" s="91"/>
      <c r="G11" s="91"/>
      <c r="H11"/>
      <c r="J11" s="566">
        <v>1</v>
      </c>
    </row>
    <row r="12" spans="1:10" ht="21" customHeight="1" x14ac:dyDescent="0.25">
      <c r="A12" s="91"/>
      <c r="B12" s="91" t="s">
        <v>1399</v>
      </c>
      <c r="C12" s="91"/>
      <c r="D12" s="91"/>
      <c r="E12" s="91"/>
      <c r="F12" s="91"/>
      <c r="G12" s="91"/>
      <c r="H12" s="556" t="s">
        <v>1736</v>
      </c>
      <c r="J12" s="566">
        <v>1</v>
      </c>
    </row>
    <row r="13" spans="1:10" ht="21" customHeight="1" x14ac:dyDescent="0.25">
      <c r="A13" s="91"/>
      <c r="B13" s="96" t="s">
        <v>1400</v>
      </c>
      <c r="C13" s="96" t="s">
        <v>1389</v>
      </c>
      <c r="D13" s="91"/>
      <c r="E13" s="91"/>
      <c r="F13" s="91"/>
      <c r="G13" s="91"/>
      <c r="H13"/>
      <c r="J13" s="566">
        <v>1</v>
      </c>
    </row>
    <row r="14" spans="1:10" ht="21" customHeight="1" x14ac:dyDescent="0.25">
      <c r="A14" s="91"/>
      <c r="B14" s="97" t="s">
        <v>1401</v>
      </c>
      <c r="C14" s="97" t="s">
        <v>1402</v>
      </c>
      <c r="D14" s="91"/>
      <c r="E14" s="91"/>
      <c r="F14" s="91"/>
      <c r="G14" s="91"/>
      <c r="H14" s="556" t="s">
        <v>1737</v>
      </c>
      <c r="J14" s="566">
        <v>1</v>
      </c>
    </row>
    <row r="15" spans="1:10" ht="21" customHeight="1" x14ac:dyDescent="0.25">
      <c r="A15" s="91"/>
      <c r="B15" s="97" t="s">
        <v>1403</v>
      </c>
      <c r="C15" s="97" t="s">
        <v>1404</v>
      </c>
      <c r="D15" s="91"/>
      <c r="E15" s="91"/>
      <c r="F15" s="91"/>
      <c r="G15" s="91"/>
      <c r="H15" s="556" t="s">
        <v>1738</v>
      </c>
      <c r="J15" s="566">
        <v>1</v>
      </c>
    </row>
    <row r="16" spans="1:10" ht="21" customHeight="1" x14ac:dyDescent="0.25">
      <c r="A16" s="91"/>
      <c r="B16" s="97" t="s">
        <v>1390</v>
      </c>
      <c r="C16" s="97" t="s">
        <v>1405</v>
      </c>
      <c r="D16" s="91"/>
      <c r="E16" s="91"/>
      <c r="F16" s="91"/>
      <c r="G16" s="91"/>
      <c r="H16"/>
      <c r="J16" s="566">
        <v>1</v>
      </c>
    </row>
    <row r="17" spans="1:10" ht="21" customHeight="1" x14ac:dyDescent="0.25">
      <c r="A17" s="91"/>
      <c r="B17" s="97" t="s">
        <v>1391</v>
      </c>
      <c r="C17" s="97" t="s">
        <v>1406</v>
      </c>
      <c r="D17" s="91"/>
      <c r="E17" s="91"/>
      <c r="F17" s="91"/>
      <c r="G17" s="91"/>
      <c r="H17" s="556" t="s">
        <v>1739</v>
      </c>
      <c r="J17" s="566">
        <v>1</v>
      </c>
    </row>
    <row r="18" spans="1:10" ht="21" customHeight="1" x14ac:dyDescent="0.25">
      <c r="A18" s="91"/>
      <c r="B18" s="97" t="s">
        <v>1407</v>
      </c>
      <c r="C18" s="97" t="s">
        <v>1408</v>
      </c>
      <c r="D18" s="91"/>
      <c r="E18" s="91"/>
      <c r="F18" s="91"/>
      <c r="G18" s="91"/>
      <c r="H18" s="556" t="s">
        <v>1740</v>
      </c>
      <c r="J18" s="566">
        <v>1</v>
      </c>
    </row>
    <row r="19" spans="1:10" ht="21" customHeight="1" x14ac:dyDescent="0.25">
      <c r="A19" s="91"/>
      <c r="B19" s="97" t="s">
        <v>1409</v>
      </c>
      <c r="C19" s="97" t="s">
        <v>1410</v>
      </c>
      <c r="D19" s="91"/>
      <c r="E19" s="91"/>
      <c r="F19" s="91"/>
      <c r="G19" s="91"/>
      <c r="H19" s="556" t="s">
        <v>1741</v>
      </c>
      <c r="J19" s="566">
        <v>1</v>
      </c>
    </row>
    <row r="20" spans="1:10" ht="21" customHeight="1" x14ac:dyDescent="0.25">
      <c r="A20" s="91"/>
      <c r="B20" s="97" t="s">
        <v>1411</v>
      </c>
      <c r="C20" s="97" t="s">
        <v>1412</v>
      </c>
      <c r="D20" s="91"/>
      <c r="E20" s="91"/>
      <c r="F20" s="91"/>
      <c r="G20" s="91"/>
      <c r="H20" s="556" t="s">
        <v>1742</v>
      </c>
      <c r="J20" s="566">
        <v>1</v>
      </c>
    </row>
    <row r="21" spans="1:10" ht="21" customHeight="1" x14ac:dyDescent="0.25">
      <c r="A21" s="91"/>
      <c r="B21" s="97" t="s">
        <v>1413</v>
      </c>
      <c r="C21" s="97" t="s">
        <v>1414</v>
      </c>
      <c r="D21" s="91"/>
      <c r="E21" s="91"/>
      <c r="F21" s="91"/>
      <c r="G21" s="91"/>
      <c r="H21" s="556" t="s">
        <v>1743</v>
      </c>
      <c r="J21" s="566">
        <v>1</v>
      </c>
    </row>
    <row r="22" spans="1:10" ht="21" customHeight="1" x14ac:dyDescent="0.25">
      <c r="A22" s="91"/>
      <c r="B22" s="97" t="s">
        <v>1415</v>
      </c>
      <c r="C22" s="97" t="s">
        <v>1416</v>
      </c>
      <c r="D22" s="91"/>
      <c r="E22" s="91"/>
      <c r="F22" s="91"/>
      <c r="G22" s="91"/>
      <c r="H22" s="556" t="s">
        <v>1744</v>
      </c>
      <c r="J22" s="566">
        <v>1</v>
      </c>
    </row>
    <row r="23" spans="1:10" ht="21" customHeight="1" x14ac:dyDescent="0.25">
      <c r="A23" s="91"/>
      <c r="B23" s="91" t="s">
        <v>1417</v>
      </c>
      <c r="C23" s="91"/>
      <c r="D23" s="91"/>
      <c r="E23" s="91"/>
      <c r="F23" s="91"/>
      <c r="G23" s="91"/>
      <c r="H23" s="556" t="s">
        <v>1745</v>
      </c>
      <c r="J23" s="566">
        <v>1</v>
      </c>
    </row>
    <row r="24" spans="1:10" ht="21" customHeight="1" x14ac:dyDescent="0.25">
      <c r="A24" s="91"/>
      <c r="B24" s="91"/>
      <c r="C24" s="91"/>
      <c r="D24" s="91"/>
      <c r="E24" s="91"/>
      <c r="F24" s="91"/>
      <c r="G24" s="91"/>
      <c r="H24" s="556" t="s">
        <v>1746</v>
      </c>
      <c r="J24" s="566">
        <v>1</v>
      </c>
    </row>
    <row r="25" spans="1:10" ht="21" customHeight="1" x14ac:dyDescent="0.25">
      <c r="A25" s="91"/>
      <c r="B25" s="95" t="s">
        <v>1418</v>
      </c>
      <c r="C25" s="91"/>
      <c r="D25" s="91"/>
      <c r="E25" s="91"/>
      <c r="F25" s="91"/>
      <c r="G25" s="91"/>
      <c r="H25" s="556" t="s">
        <v>1747</v>
      </c>
      <c r="J25" s="566">
        <v>1</v>
      </c>
    </row>
    <row r="26" spans="1:10" ht="21" customHeight="1" x14ac:dyDescent="0.25">
      <c r="A26" s="91"/>
      <c r="B26" s="91" t="s">
        <v>1419</v>
      </c>
      <c r="C26" s="91"/>
      <c r="D26" s="91"/>
      <c r="E26" s="91"/>
      <c r="F26" s="91"/>
      <c r="G26" s="91"/>
      <c r="H26" s="556" t="s">
        <v>1748</v>
      </c>
      <c r="J26" s="566">
        <v>1</v>
      </c>
    </row>
    <row r="27" spans="1:10" ht="21" customHeight="1" x14ac:dyDescent="0.25">
      <c r="A27" s="91"/>
      <c r="B27" s="98" t="s">
        <v>1420</v>
      </c>
      <c r="C27" s="91"/>
      <c r="D27" s="91"/>
      <c r="E27" s="91"/>
      <c r="F27" s="91"/>
      <c r="G27" s="91"/>
      <c r="H27" s="556" t="s">
        <v>1749</v>
      </c>
      <c r="J27" s="566">
        <v>1</v>
      </c>
    </row>
    <row r="28" spans="1:10" ht="21" customHeight="1" x14ac:dyDescent="0.25">
      <c r="A28" s="91"/>
      <c r="B28" s="98" t="s">
        <v>1421</v>
      </c>
      <c r="C28" s="91"/>
      <c r="D28" s="91"/>
      <c r="E28" s="91"/>
      <c r="F28" s="91"/>
      <c r="G28" s="91"/>
      <c r="H28" s="556" t="s">
        <v>1750</v>
      </c>
      <c r="J28" s="566">
        <v>1</v>
      </c>
    </row>
    <row r="29" spans="1:10" ht="21" customHeight="1" x14ac:dyDescent="0.25">
      <c r="A29" s="91"/>
      <c r="B29" s="98" t="s">
        <v>1422</v>
      </c>
      <c r="C29" s="91"/>
      <c r="D29" s="91"/>
      <c r="E29" s="91"/>
      <c r="F29" s="91"/>
      <c r="G29" s="91"/>
      <c r="H29" s="556" t="s">
        <v>1751</v>
      </c>
      <c r="J29" s="566">
        <v>1</v>
      </c>
    </row>
    <row r="30" spans="1:10" ht="21" customHeight="1" x14ac:dyDescent="0.25">
      <c r="A30" s="91"/>
      <c r="B30" s="98"/>
      <c r="C30" s="91"/>
      <c r="D30" s="91"/>
      <c r="E30" s="91"/>
      <c r="F30" s="91"/>
      <c r="G30" s="91"/>
      <c r="H30" s="556" t="s">
        <v>1752</v>
      </c>
      <c r="J30" s="566">
        <v>1</v>
      </c>
    </row>
    <row r="31" spans="1:10" ht="21" customHeight="1" x14ac:dyDescent="0.25">
      <c r="A31" s="91"/>
      <c r="B31" s="95" t="s">
        <v>1423</v>
      </c>
      <c r="C31" s="91"/>
      <c r="D31" s="91"/>
      <c r="E31" s="91"/>
      <c r="F31" s="91"/>
      <c r="G31" s="91"/>
      <c r="H31" s="556" t="s">
        <v>1753</v>
      </c>
      <c r="J31" s="566">
        <v>1</v>
      </c>
    </row>
    <row r="32" spans="1:10" ht="21" customHeight="1" x14ac:dyDescent="0.25">
      <c r="A32" s="91"/>
      <c r="B32" s="91" t="s">
        <v>1424</v>
      </c>
      <c r="C32" s="91"/>
      <c r="D32" s="91"/>
      <c r="E32" s="91"/>
      <c r="F32" s="91"/>
      <c r="G32" s="91"/>
      <c r="H32" s="556" t="s">
        <v>1754</v>
      </c>
      <c r="J32" s="566">
        <v>1</v>
      </c>
    </row>
    <row r="33" spans="1:10" ht="21" customHeight="1" x14ac:dyDescent="0.25">
      <c r="A33" s="91"/>
      <c r="B33" s="91" t="s">
        <v>1425</v>
      </c>
      <c r="C33" s="91"/>
      <c r="D33" s="91"/>
      <c r="E33" s="91"/>
      <c r="F33" s="91"/>
      <c r="G33" s="91"/>
      <c r="H33"/>
      <c r="J33" s="566">
        <v>1</v>
      </c>
    </row>
    <row r="34" spans="1:10" ht="21" customHeight="1" x14ac:dyDescent="0.25">
      <c r="A34" s="91"/>
      <c r="B34" s="91" t="s">
        <v>1426</v>
      </c>
      <c r="C34" s="91"/>
      <c r="D34" s="91"/>
      <c r="E34" s="91"/>
      <c r="F34" s="91"/>
      <c r="G34" s="91"/>
      <c r="H34" s="556" t="s">
        <v>1755</v>
      </c>
      <c r="J34" s="566">
        <v>1</v>
      </c>
    </row>
    <row r="35" spans="1:10" ht="21" customHeight="1" x14ac:dyDescent="0.25">
      <c r="A35" s="91"/>
      <c r="B35" s="91" t="s">
        <v>1427</v>
      </c>
      <c r="C35" s="91"/>
      <c r="D35" s="91"/>
      <c r="E35" s="91"/>
      <c r="F35" s="91"/>
      <c r="G35" s="91"/>
      <c r="H35" s="556" t="s">
        <v>1756</v>
      </c>
      <c r="J35" s="566">
        <v>1</v>
      </c>
    </row>
    <row r="36" spans="1:10" ht="21" customHeight="1" x14ac:dyDescent="0.25">
      <c r="A36" s="91"/>
      <c r="B36" s="91"/>
      <c r="C36" s="91"/>
      <c r="D36" s="91"/>
      <c r="E36" s="91"/>
      <c r="F36" s="91"/>
      <c r="G36" s="91"/>
      <c r="H36" s="556" t="s">
        <v>1731</v>
      </c>
      <c r="J36" s="566">
        <v>1</v>
      </c>
    </row>
    <row r="37" spans="1:10" ht="21" customHeight="1" x14ac:dyDescent="0.25">
      <c r="A37" s="91"/>
      <c r="B37" s="91"/>
      <c r="C37" s="91"/>
      <c r="D37" s="91"/>
      <c r="E37" s="91"/>
      <c r="F37" s="91"/>
      <c r="G37" s="91"/>
      <c r="H37" s="556" t="s">
        <v>1757</v>
      </c>
      <c r="J37" s="566">
        <v>1</v>
      </c>
    </row>
    <row r="38" spans="1:10" ht="21" customHeight="1" x14ac:dyDescent="0.25">
      <c r="H38" s="556" t="s">
        <v>1758</v>
      </c>
      <c r="J38" s="566">
        <v>1</v>
      </c>
    </row>
    <row r="39" spans="1:10" ht="21" customHeight="1" x14ac:dyDescent="0.25">
      <c r="H39" s="556" t="s">
        <v>1759</v>
      </c>
      <c r="J39" s="566">
        <v>1</v>
      </c>
    </row>
    <row r="40" spans="1:10" x14ac:dyDescent="0.25">
      <c r="H40" s="556" t="s">
        <v>1760</v>
      </c>
      <c r="J40" s="566">
        <v>1</v>
      </c>
    </row>
    <row r="41" spans="1:10" x14ac:dyDescent="0.25">
      <c r="H41" s="556" t="s">
        <v>1761</v>
      </c>
      <c r="J41" s="566">
        <v>1</v>
      </c>
    </row>
    <row r="42" spans="1:10" x14ac:dyDescent="0.25">
      <c r="H42" s="556" t="s">
        <v>1762</v>
      </c>
      <c r="J42" s="566">
        <v>1</v>
      </c>
    </row>
    <row r="43" spans="1:10" x14ac:dyDescent="0.25">
      <c r="H43" s="556" t="s">
        <v>1763</v>
      </c>
      <c r="J43" s="566">
        <v>1</v>
      </c>
    </row>
    <row r="44" spans="1:10" x14ac:dyDescent="0.25">
      <c r="H44" s="556" t="s">
        <v>1764</v>
      </c>
      <c r="J44" s="566">
        <v>1</v>
      </c>
    </row>
    <row r="45" spans="1:10" x14ac:dyDescent="0.25">
      <c r="H45" s="556" t="s">
        <v>1765</v>
      </c>
      <c r="J45" s="566">
        <v>1</v>
      </c>
    </row>
    <row r="46" spans="1:10" x14ac:dyDescent="0.25">
      <c r="H46" s="556" t="s">
        <v>1766</v>
      </c>
      <c r="J46" s="566">
        <v>1</v>
      </c>
    </row>
    <row r="47" spans="1:10" x14ac:dyDescent="0.25">
      <c r="H47" s="556" t="s">
        <v>1767</v>
      </c>
      <c r="J47" s="566">
        <v>1</v>
      </c>
    </row>
    <row r="48" spans="1:10" x14ac:dyDescent="0.25">
      <c r="H48" s="556" t="s">
        <v>1768</v>
      </c>
      <c r="J48" s="566">
        <v>1</v>
      </c>
    </row>
    <row r="49" spans="8:10" x14ac:dyDescent="0.25">
      <c r="H49" s="556" t="s">
        <v>1769</v>
      </c>
      <c r="J49" s="566">
        <v>1</v>
      </c>
    </row>
    <row r="50" spans="8:10" x14ac:dyDescent="0.25">
      <c r="H50" s="556" t="s">
        <v>1770</v>
      </c>
      <c r="J50" s="566">
        <v>1</v>
      </c>
    </row>
    <row r="51" spans="8:10" x14ac:dyDescent="0.25">
      <c r="H51" s="556" t="s">
        <v>1771</v>
      </c>
      <c r="J51" s="566">
        <v>1</v>
      </c>
    </row>
    <row r="52" spans="8:10" x14ac:dyDescent="0.25">
      <c r="H52" s="556" t="s">
        <v>1772</v>
      </c>
      <c r="J52" s="566">
        <v>1</v>
      </c>
    </row>
    <row r="53" spans="8:10" x14ac:dyDescent="0.25">
      <c r="H53" s="556" t="s">
        <v>1773</v>
      </c>
      <c r="J53" s="566">
        <v>1</v>
      </c>
    </row>
    <row r="54" spans="8:10" x14ac:dyDescent="0.25">
      <c r="H54"/>
      <c r="J54" s="566">
        <v>1</v>
      </c>
    </row>
    <row r="55" spans="8:10" x14ac:dyDescent="0.25">
      <c r="H55" s="556" t="s">
        <v>1727</v>
      </c>
      <c r="J55" s="566">
        <v>1</v>
      </c>
    </row>
    <row r="56" spans="8:10" x14ac:dyDescent="0.25">
      <c r="H56" s="556" t="s">
        <v>1774</v>
      </c>
      <c r="J56" s="566">
        <v>1</v>
      </c>
    </row>
    <row r="57" spans="8:10" x14ac:dyDescent="0.25">
      <c r="H57" s="556" t="s">
        <v>1775</v>
      </c>
      <c r="J57" s="566">
        <v>1</v>
      </c>
    </row>
    <row r="58" spans="8:10" x14ac:dyDescent="0.25">
      <c r="H58" s="556" t="s">
        <v>1776</v>
      </c>
      <c r="J58" s="566">
        <v>1</v>
      </c>
    </row>
    <row r="59" spans="8:10" x14ac:dyDescent="0.25">
      <c r="H59" s="556" t="s">
        <v>1777</v>
      </c>
      <c r="J59" s="566">
        <v>1</v>
      </c>
    </row>
    <row r="60" spans="8:10" x14ac:dyDescent="0.25">
      <c r="H60" s="556" t="s">
        <v>1778</v>
      </c>
      <c r="J60" s="566">
        <v>1</v>
      </c>
    </row>
    <row r="61" spans="8:10" x14ac:dyDescent="0.25">
      <c r="H61" s="556" t="s">
        <v>1779</v>
      </c>
      <c r="J61" s="566">
        <v>1</v>
      </c>
    </row>
    <row r="62" spans="8:10" x14ac:dyDescent="0.25">
      <c r="H62" s="556" t="s">
        <v>1780</v>
      </c>
      <c r="J62" s="566">
        <v>1</v>
      </c>
    </row>
    <row r="63" spans="8:10" x14ac:dyDescent="0.25">
      <c r="H63" s="556" t="s">
        <v>1781</v>
      </c>
      <c r="J63" s="566">
        <v>1</v>
      </c>
    </row>
    <row r="64" spans="8:10" x14ac:dyDescent="0.25">
      <c r="H64" s="556" t="s">
        <v>1782</v>
      </c>
      <c r="J64" s="566">
        <v>1</v>
      </c>
    </row>
    <row r="65" spans="8:10" x14ac:dyDescent="0.25">
      <c r="H65" s="556" t="s">
        <v>1783</v>
      </c>
      <c r="J65" s="566">
        <v>1</v>
      </c>
    </row>
    <row r="66" spans="8:10" x14ac:dyDescent="0.25">
      <c r="H66" s="556" t="s">
        <v>1784</v>
      </c>
      <c r="J66" s="566">
        <v>1</v>
      </c>
    </row>
    <row r="67" spans="8:10" x14ac:dyDescent="0.25">
      <c r="H67"/>
      <c r="J67" s="566">
        <v>1</v>
      </c>
    </row>
    <row r="68" spans="8:10" x14ac:dyDescent="0.25">
      <c r="H68" s="556" t="s">
        <v>1785</v>
      </c>
      <c r="J68" s="566">
        <v>1</v>
      </c>
    </row>
    <row r="69" spans="8:10" x14ac:dyDescent="0.25">
      <c r="H69"/>
      <c r="J69" s="566">
        <v>1</v>
      </c>
    </row>
    <row r="70" spans="8:10" x14ac:dyDescent="0.25">
      <c r="H70" s="556" t="s">
        <v>1786</v>
      </c>
      <c r="J70" s="566">
        <v>1</v>
      </c>
    </row>
    <row r="71" spans="8:10" x14ac:dyDescent="0.25">
      <c r="H71" s="556" t="s">
        <v>1787</v>
      </c>
      <c r="J71" s="566">
        <v>1</v>
      </c>
    </row>
    <row r="72" spans="8:10" x14ac:dyDescent="0.25">
      <c r="H72" s="556" t="s">
        <v>1788</v>
      </c>
      <c r="J72" s="566">
        <v>1</v>
      </c>
    </row>
    <row r="73" spans="8:10" x14ac:dyDescent="0.25">
      <c r="H73" s="556" t="s">
        <v>1789</v>
      </c>
      <c r="J73" s="566">
        <v>1</v>
      </c>
    </row>
    <row r="74" spans="8:10" x14ac:dyDescent="0.25">
      <c r="H74" s="556" t="s">
        <v>1790</v>
      </c>
      <c r="J74" s="566">
        <v>1</v>
      </c>
    </row>
    <row r="75" spans="8:10" x14ac:dyDescent="0.25">
      <c r="H75" s="556" t="s">
        <v>1791</v>
      </c>
      <c r="J75" s="566">
        <v>1</v>
      </c>
    </row>
    <row r="76" spans="8:10" x14ac:dyDescent="0.25">
      <c r="H76" s="556" t="s">
        <v>1792</v>
      </c>
      <c r="J76" s="566">
        <v>1</v>
      </c>
    </row>
    <row r="77" spans="8:10" x14ac:dyDescent="0.25">
      <c r="H77" s="556" t="s">
        <v>1793</v>
      </c>
      <c r="J77" s="566">
        <v>1</v>
      </c>
    </row>
    <row r="78" spans="8:10" x14ac:dyDescent="0.25">
      <c r="H78" s="556" t="s">
        <v>1794</v>
      </c>
      <c r="J78" s="566">
        <v>1</v>
      </c>
    </row>
    <row r="79" spans="8:10" x14ac:dyDescent="0.25">
      <c r="H79" s="556" t="s">
        <v>1795</v>
      </c>
      <c r="J79" s="566">
        <v>1</v>
      </c>
    </row>
    <row r="80" spans="8:10" x14ac:dyDescent="0.25">
      <c r="H80" s="556" t="s">
        <v>1796</v>
      </c>
      <c r="J80" s="566">
        <v>1</v>
      </c>
    </row>
    <row r="81" spans="8:10" x14ac:dyDescent="0.25">
      <c r="H81"/>
      <c r="J81" s="566">
        <v>1</v>
      </c>
    </row>
    <row r="82" spans="8:10" x14ac:dyDescent="0.25">
      <c r="H82" s="556" t="s">
        <v>1797</v>
      </c>
      <c r="J82" s="566">
        <v>1</v>
      </c>
    </row>
    <row r="83" spans="8:10" x14ac:dyDescent="0.25">
      <c r="H83" s="556" t="s">
        <v>1798</v>
      </c>
      <c r="J83" s="566">
        <v>1</v>
      </c>
    </row>
    <row r="84" spans="8:10" x14ac:dyDescent="0.25">
      <c r="H84" s="556" t="s">
        <v>1799</v>
      </c>
      <c r="J84" s="566">
        <v>1</v>
      </c>
    </row>
    <row r="85" spans="8:10" x14ac:dyDescent="0.25">
      <c r="H85" s="556" t="s">
        <v>1800</v>
      </c>
      <c r="J85" s="566">
        <v>1</v>
      </c>
    </row>
    <row r="86" spans="8:10" x14ac:dyDescent="0.25">
      <c r="H86" s="556" t="s">
        <v>1801</v>
      </c>
      <c r="J86" s="566">
        <v>1</v>
      </c>
    </row>
    <row r="87" spans="8:10" x14ac:dyDescent="0.25">
      <c r="H87"/>
      <c r="J87" s="566">
        <v>1</v>
      </c>
    </row>
    <row r="88" spans="8:10" x14ac:dyDescent="0.25">
      <c r="H88" s="556" t="s">
        <v>1728</v>
      </c>
      <c r="J88" s="566">
        <v>1</v>
      </c>
    </row>
    <row r="89" spans="8:10" x14ac:dyDescent="0.25">
      <c r="H89" s="556" t="s">
        <v>1802</v>
      </c>
      <c r="J89" s="566">
        <v>1</v>
      </c>
    </row>
    <row r="90" spans="8:10" x14ac:dyDescent="0.25">
      <c r="H90" s="556" t="s">
        <v>1803</v>
      </c>
      <c r="J90" s="566">
        <v>1</v>
      </c>
    </row>
    <row r="91" spans="8:10" x14ac:dyDescent="0.25">
      <c r="H91" s="556" t="s">
        <v>1804</v>
      </c>
      <c r="J91" s="566">
        <v>1</v>
      </c>
    </row>
    <row r="92" spans="8:10" x14ac:dyDescent="0.25">
      <c r="H92" s="556" t="s">
        <v>1805</v>
      </c>
      <c r="J92" s="566">
        <v>1</v>
      </c>
    </row>
    <row r="93" spans="8:10" x14ac:dyDescent="0.25">
      <c r="H93" s="556" t="s">
        <v>1806</v>
      </c>
      <c r="J93" s="566">
        <v>1</v>
      </c>
    </row>
    <row r="94" spans="8:10" x14ac:dyDescent="0.25">
      <c r="H94" s="556" t="s">
        <v>1807</v>
      </c>
      <c r="J94" s="566">
        <v>1</v>
      </c>
    </row>
    <row r="95" spans="8:10" x14ac:dyDescent="0.25">
      <c r="H95" s="556" t="s">
        <v>1808</v>
      </c>
      <c r="J95" s="566">
        <v>1</v>
      </c>
    </row>
    <row r="96" spans="8:10" x14ac:dyDescent="0.25">
      <c r="H96" s="556" t="s">
        <v>1809</v>
      </c>
      <c r="J96" s="566">
        <v>1</v>
      </c>
    </row>
    <row r="97" spans="8:10" x14ac:dyDescent="0.25">
      <c r="H97" s="556" t="s">
        <v>1810</v>
      </c>
      <c r="J97" s="566">
        <v>1</v>
      </c>
    </row>
    <row r="98" spans="8:10" x14ac:dyDescent="0.25">
      <c r="H98" s="556" t="s">
        <v>1811</v>
      </c>
      <c r="J98" s="566">
        <v>1</v>
      </c>
    </row>
    <row r="99" spans="8:10" x14ac:dyDescent="0.25">
      <c r="H99" s="556" t="s">
        <v>1812</v>
      </c>
      <c r="J99" s="566">
        <v>1</v>
      </c>
    </row>
    <row r="100" spans="8:10" x14ac:dyDescent="0.25">
      <c r="H100" s="556" t="s">
        <v>1813</v>
      </c>
      <c r="J100" s="566">
        <v>1</v>
      </c>
    </row>
    <row r="101" spans="8:10" x14ac:dyDescent="0.25">
      <c r="H101" s="556" t="s">
        <v>1814</v>
      </c>
      <c r="J101" s="566">
        <v>1</v>
      </c>
    </row>
    <row r="102" spans="8:10" x14ac:dyDescent="0.25">
      <c r="H102" s="556" t="s">
        <v>1815</v>
      </c>
      <c r="J102" s="566">
        <v>1</v>
      </c>
    </row>
    <row r="103" spans="8:10" x14ac:dyDescent="0.25">
      <c r="H103" s="556" t="s">
        <v>1816</v>
      </c>
      <c r="J103" s="566">
        <v>1</v>
      </c>
    </row>
    <row r="104" spans="8:10" x14ac:dyDescent="0.25">
      <c r="H104" s="556" t="s">
        <v>1817</v>
      </c>
      <c r="J104" s="566">
        <v>1</v>
      </c>
    </row>
    <row r="105" spans="8:10" x14ac:dyDescent="0.25">
      <c r="H105" s="556" t="s">
        <v>1818</v>
      </c>
      <c r="J105" s="566">
        <v>1</v>
      </c>
    </row>
    <row r="106" spans="8:10" x14ac:dyDescent="0.25">
      <c r="H106" s="556" t="s">
        <v>1819</v>
      </c>
      <c r="J106" s="566">
        <v>1</v>
      </c>
    </row>
    <row r="107" spans="8:10" x14ac:dyDescent="0.25">
      <c r="H107" s="556" t="s">
        <v>1820</v>
      </c>
      <c r="J107" s="566">
        <v>1</v>
      </c>
    </row>
    <row r="108" spans="8:10" x14ac:dyDescent="0.25">
      <c r="H108" s="556" t="s">
        <v>1821</v>
      </c>
      <c r="J108" s="566">
        <v>1</v>
      </c>
    </row>
    <row r="109" spans="8:10" x14ac:dyDescent="0.25">
      <c r="H109"/>
      <c r="J109" s="566">
        <v>1</v>
      </c>
    </row>
    <row r="110" spans="8:10" x14ac:dyDescent="0.25">
      <c r="H110" s="556" t="s">
        <v>1822</v>
      </c>
      <c r="J110" s="566">
        <v>1</v>
      </c>
    </row>
    <row r="111" spans="8:10" x14ac:dyDescent="0.25">
      <c r="H111" s="556" t="s">
        <v>1823</v>
      </c>
      <c r="J111" s="566">
        <v>1</v>
      </c>
    </row>
    <row r="112" spans="8:10" x14ac:dyDescent="0.25">
      <c r="H112" s="556" t="s">
        <v>1824</v>
      </c>
      <c r="J112" s="566">
        <v>1</v>
      </c>
    </row>
    <row r="113" spans="8:10" x14ac:dyDescent="0.25">
      <c r="H113" s="556" t="s">
        <v>1825</v>
      </c>
      <c r="J113" s="566">
        <v>1</v>
      </c>
    </row>
    <row r="114" spans="8:10" x14ac:dyDescent="0.25">
      <c r="H114" s="556" t="s">
        <v>1826</v>
      </c>
      <c r="J114" s="566">
        <v>1</v>
      </c>
    </row>
    <row r="115" spans="8:10" x14ac:dyDescent="0.25">
      <c r="H115" s="556" t="s">
        <v>1827</v>
      </c>
      <c r="J115" s="566">
        <v>1</v>
      </c>
    </row>
    <row r="116" spans="8:10" x14ac:dyDescent="0.25">
      <c r="H116" s="556" t="s">
        <v>1828</v>
      </c>
      <c r="J116" s="566">
        <v>1</v>
      </c>
    </row>
    <row r="117" spans="8:10" x14ac:dyDescent="0.25">
      <c r="H117" s="556" t="s">
        <v>1829</v>
      </c>
      <c r="J117" s="566">
        <v>1</v>
      </c>
    </row>
    <row r="118" spans="8:10" x14ac:dyDescent="0.25">
      <c r="H118" s="556" t="s">
        <v>1830</v>
      </c>
      <c r="J118" s="566">
        <v>1</v>
      </c>
    </row>
    <row r="119" spans="8:10" x14ac:dyDescent="0.25">
      <c r="H119" s="556" t="s">
        <v>1831</v>
      </c>
      <c r="J119" s="566">
        <v>1</v>
      </c>
    </row>
    <row r="120" spans="8:10" x14ac:dyDescent="0.25">
      <c r="H120" s="556" t="s">
        <v>1832</v>
      </c>
      <c r="J120" s="566">
        <v>1</v>
      </c>
    </row>
    <row r="121" spans="8:10" x14ac:dyDescent="0.25">
      <c r="H121" s="556" t="s">
        <v>1833</v>
      </c>
      <c r="J121" s="566">
        <v>1</v>
      </c>
    </row>
    <row r="122" spans="8:10" x14ac:dyDescent="0.25">
      <c r="H122" s="556" t="s">
        <v>1834</v>
      </c>
      <c r="J122" s="566">
        <v>1</v>
      </c>
    </row>
    <row r="123" spans="8:10" x14ac:dyDescent="0.25">
      <c r="H123"/>
      <c r="J123" s="566">
        <v>1</v>
      </c>
    </row>
    <row r="124" spans="8:10" x14ac:dyDescent="0.25">
      <c r="H124" s="556" t="s">
        <v>1835</v>
      </c>
      <c r="J124" s="566">
        <v>1</v>
      </c>
    </row>
    <row r="125" spans="8:10" x14ac:dyDescent="0.25">
      <c r="H125" s="556" t="s">
        <v>1836</v>
      </c>
      <c r="J125" s="566">
        <v>1</v>
      </c>
    </row>
    <row r="126" spans="8:10" x14ac:dyDescent="0.25">
      <c r="H126" s="556" t="s">
        <v>1837</v>
      </c>
      <c r="J126" s="566">
        <v>1</v>
      </c>
    </row>
    <row r="127" spans="8:10" x14ac:dyDescent="0.25">
      <c r="H127" s="556" t="s">
        <v>1838</v>
      </c>
      <c r="J127" s="566">
        <v>1</v>
      </c>
    </row>
    <row r="128" spans="8:10" x14ac:dyDescent="0.25">
      <c r="H128" s="556" t="s">
        <v>1839</v>
      </c>
      <c r="J128" s="566">
        <v>1</v>
      </c>
    </row>
    <row r="129" spans="8:10" x14ac:dyDescent="0.25">
      <c r="H129" s="556" t="s">
        <v>1840</v>
      </c>
      <c r="J129" s="566">
        <v>1</v>
      </c>
    </row>
    <row r="130" spans="8:10" x14ac:dyDescent="0.25">
      <c r="H130" s="556" t="s">
        <v>1841</v>
      </c>
      <c r="J130" s="566">
        <v>1</v>
      </c>
    </row>
    <row r="131" spans="8:10" x14ac:dyDescent="0.25">
      <c r="H131" s="556" t="s">
        <v>1842</v>
      </c>
      <c r="J131" s="566">
        <v>1</v>
      </c>
    </row>
    <row r="132" spans="8:10" x14ac:dyDescent="0.25">
      <c r="H132" s="556" t="s">
        <v>1843</v>
      </c>
      <c r="J132" s="566">
        <v>1</v>
      </c>
    </row>
    <row r="133" spans="8:10" x14ac:dyDescent="0.25">
      <c r="H133"/>
      <c r="J133" s="566">
        <v>1</v>
      </c>
    </row>
    <row r="134" spans="8:10" x14ac:dyDescent="0.25">
      <c r="H134" s="556" t="s">
        <v>1844</v>
      </c>
      <c r="J134" s="566">
        <v>1</v>
      </c>
    </row>
    <row r="135" spans="8:10" x14ac:dyDescent="0.25">
      <c r="H135" s="556" t="s">
        <v>1845</v>
      </c>
      <c r="J135" s="566">
        <v>1</v>
      </c>
    </row>
    <row r="136" spans="8:10" x14ac:dyDescent="0.25">
      <c r="H136" s="556" t="s">
        <v>1846</v>
      </c>
      <c r="J136" s="566">
        <v>1</v>
      </c>
    </row>
    <row r="137" spans="8:10" x14ac:dyDescent="0.25">
      <c r="H137" s="556" t="s">
        <v>1847</v>
      </c>
      <c r="J137" s="566">
        <v>1</v>
      </c>
    </row>
    <row r="138" spans="8:10" x14ac:dyDescent="0.25">
      <c r="H138" s="556" t="s">
        <v>1848</v>
      </c>
      <c r="J138" s="566">
        <v>1</v>
      </c>
    </row>
    <row r="139" spans="8:10" x14ac:dyDescent="0.25">
      <c r="H139" s="556" t="s">
        <v>1849</v>
      </c>
      <c r="J139" s="566">
        <v>1</v>
      </c>
    </row>
    <row r="140" spans="8:10" x14ac:dyDescent="0.25">
      <c r="H140" s="556" t="s">
        <v>1850</v>
      </c>
      <c r="J140" s="566">
        <v>1</v>
      </c>
    </row>
    <row r="141" spans="8:10" x14ac:dyDescent="0.25">
      <c r="H141"/>
      <c r="J141" s="566">
        <v>1</v>
      </c>
    </row>
    <row r="142" spans="8:10" x14ac:dyDescent="0.25">
      <c r="H142" s="556" t="s">
        <v>1729</v>
      </c>
      <c r="J142" s="566">
        <v>1</v>
      </c>
    </row>
    <row r="143" spans="8:10" x14ac:dyDescent="0.25">
      <c r="H143" s="556" t="s">
        <v>1851</v>
      </c>
      <c r="J143" s="566">
        <v>1</v>
      </c>
    </row>
    <row r="144" spans="8:10" x14ac:dyDescent="0.25">
      <c r="H144" s="556" t="s">
        <v>1730</v>
      </c>
      <c r="J144" s="566">
        <v>1</v>
      </c>
    </row>
    <row r="145" spans="8:10" x14ac:dyDescent="0.25">
      <c r="H145" s="556" t="s">
        <v>1852</v>
      </c>
      <c r="J145" s="566">
        <v>1</v>
      </c>
    </row>
    <row r="146" spans="8:10" x14ac:dyDescent="0.25">
      <c r="H146" s="556" t="s">
        <v>1853</v>
      </c>
      <c r="J146" s="566">
        <v>1</v>
      </c>
    </row>
    <row r="147" spans="8:10" x14ac:dyDescent="0.25">
      <c r="H147" s="556" t="s">
        <v>1854</v>
      </c>
      <c r="J147" s="566">
        <v>1</v>
      </c>
    </row>
    <row r="148" spans="8:10" x14ac:dyDescent="0.25">
      <c r="H148" s="556" t="s">
        <v>1855</v>
      </c>
      <c r="J148" s="566">
        <v>1</v>
      </c>
    </row>
    <row r="149" spans="8:10" x14ac:dyDescent="0.25">
      <c r="H149" s="556" t="s">
        <v>1856</v>
      </c>
      <c r="J149" s="566">
        <v>1</v>
      </c>
    </row>
    <row r="150" spans="8:10" x14ac:dyDescent="0.25">
      <c r="H150" s="556" t="s">
        <v>1857</v>
      </c>
      <c r="J150" s="566">
        <v>1</v>
      </c>
    </row>
    <row r="151" spans="8:10" x14ac:dyDescent="0.25">
      <c r="H151" s="556" t="s">
        <v>1858</v>
      </c>
      <c r="J151" s="566">
        <v>1</v>
      </c>
    </row>
    <row r="152" spans="8:10" x14ac:dyDescent="0.25">
      <c r="H152" s="556" t="s">
        <v>1859</v>
      </c>
      <c r="J152" s="566">
        <v>1</v>
      </c>
    </row>
    <row r="153" spans="8:10" x14ac:dyDescent="0.25">
      <c r="H153"/>
      <c r="J153" s="566">
        <v>1</v>
      </c>
    </row>
    <row r="154" spans="8:10" x14ac:dyDescent="0.25">
      <c r="H154" s="556" t="s">
        <v>1860</v>
      </c>
      <c r="J154" s="566">
        <v>1</v>
      </c>
    </row>
    <row r="155" spans="8:10" x14ac:dyDescent="0.25">
      <c r="H155" s="556" t="s">
        <v>1861</v>
      </c>
      <c r="J155" s="566">
        <v>1</v>
      </c>
    </row>
    <row r="156" spans="8:10" x14ac:dyDescent="0.25">
      <c r="H156" s="556" t="s">
        <v>1862</v>
      </c>
      <c r="J156" s="566">
        <v>1</v>
      </c>
    </row>
    <row r="157" spans="8:10" x14ac:dyDescent="0.25">
      <c r="H157" s="556" t="s">
        <v>1863</v>
      </c>
      <c r="J157" s="566">
        <v>1</v>
      </c>
    </row>
    <row r="158" spans="8:10" x14ac:dyDescent="0.25">
      <c r="H158" s="556" t="s">
        <v>1864</v>
      </c>
      <c r="J158" s="566">
        <v>1</v>
      </c>
    </row>
    <row r="159" spans="8:10" x14ac:dyDescent="0.25">
      <c r="H159" s="556" t="s">
        <v>1865</v>
      </c>
      <c r="J159" s="566">
        <v>1</v>
      </c>
    </row>
    <row r="160" spans="8:10" x14ac:dyDescent="0.25">
      <c r="H160" s="556" t="s">
        <v>1866</v>
      </c>
      <c r="J160" s="566">
        <v>1</v>
      </c>
    </row>
    <row r="161" spans="1:10" x14ac:dyDescent="0.25">
      <c r="H161"/>
      <c r="J161" s="566">
        <v>1</v>
      </c>
    </row>
    <row r="162" spans="1:10" x14ac:dyDescent="0.25">
      <c r="H162" s="556" t="s">
        <v>1867</v>
      </c>
      <c r="J162" s="566">
        <v>1</v>
      </c>
    </row>
    <row r="163" spans="1:10" x14ac:dyDescent="0.25">
      <c r="H163"/>
      <c r="J163" s="566">
        <v>1</v>
      </c>
    </row>
    <row r="164" spans="1:10" x14ac:dyDescent="0.25">
      <c r="H164" s="556" t="s">
        <v>1868</v>
      </c>
      <c r="J164" s="566">
        <v>1</v>
      </c>
    </row>
    <row r="165" spans="1:10" x14ac:dyDescent="0.25">
      <c r="H165"/>
      <c r="J165" s="566">
        <v>1</v>
      </c>
    </row>
    <row r="166" spans="1:10" x14ac:dyDescent="0.25">
      <c r="H166" s="556" t="s">
        <v>1732</v>
      </c>
      <c r="J166" s="566">
        <v>1</v>
      </c>
    </row>
    <row r="167" spans="1:10" x14ac:dyDescent="0.25">
      <c r="H167" s="556" t="s">
        <v>1869</v>
      </c>
      <c r="J167" s="566">
        <v>1</v>
      </c>
    </row>
    <row r="168" spans="1:10" x14ac:dyDescent="0.25">
      <c r="H168" s="556" t="s">
        <v>1870</v>
      </c>
      <c r="J168" s="566">
        <v>1</v>
      </c>
    </row>
    <row r="169" spans="1:10" x14ac:dyDescent="0.25">
      <c r="H169" s="556" t="s">
        <v>1871</v>
      </c>
      <c r="J169" s="566">
        <v>1</v>
      </c>
    </row>
    <row r="170" spans="1:10" x14ac:dyDescent="0.25">
      <c r="H170" s="556" t="s">
        <v>1872</v>
      </c>
      <c r="J170" s="566">
        <v>1</v>
      </c>
    </row>
    <row r="171" spans="1:10" x14ac:dyDescent="0.25">
      <c r="H171" s="556" t="s">
        <v>1873</v>
      </c>
      <c r="J171" s="566">
        <v>1</v>
      </c>
    </row>
    <row r="172" spans="1:10" x14ac:dyDescent="0.25">
      <c r="H172" s="556" t="s">
        <v>1874</v>
      </c>
      <c r="J172" s="566">
        <v>1</v>
      </c>
    </row>
    <row r="173" spans="1:10" x14ac:dyDescent="0.25">
      <c r="A173" s="566">
        <v>1</v>
      </c>
      <c r="B173" s="566">
        <v>1</v>
      </c>
      <c r="C173" s="566">
        <v>1</v>
      </c>
      <c r="D173" s="566">
        <v>1</v>
      </c>
      <c r="E173" s="566">
        <v>1</v>
      </c>
      <c r="F173" s="566">
        <v>1</v>
      </c>
      <c r="G173" s="566">
        <v>1</v>
      </c>
      <c r="H173" s="566">
        <v>1</v>
      </c>
      <c r="I173" s="566">
        <v>1</v>
      </c>
      <c r="J173" s="566">
        <v>1</v>
      </c>
    </row>
  </sheetData>
  <mergeCells count="1">
    <mergeCell ref="H5:H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0360-576D-459F-AAA1-2D8F0AA7A63C}">
  <dimension ref="A1:BF244"/>
  <sheetViews>
    <sheetView zoomScaleNormal="100" workbookViewId="0">
      <selection activeCell="S6" sqref="S6"/>
    </sheetView>
  </sheetViews>
  <sheetFormatPr baseColWidth="10" defaultRowHeight="15.75" x14ac:dyDescent="0.25"/>
  <cols>
    <col min="1" max="1" width="2.625" style="153" customWidth="1"/>
    <col min="2" max="2" width="3.625" style="153" customWidth="1"/>
    <col min="3" max="3" width="11.625" style="153" customWidth="1"/>
    <col min="4" max="4" width="18.625" style="153" customWidth="1"/>
    <col min="5" max="8" width="11.625" style="153" customWidth="1"/>
    <col min="9" max="9" width="15" style="153" customWidth="1"/>
    <col min="10" max="10" width="16.625" style="153" customWidth="1"/>
    <col min="11" max="12" width="14.625" style="153" customWidth="1"/>
    <col min="13" max="13" width="16" style="153" customWidth="1"/>
    <col min="14" max="16" width="14.625" style="153" customWidth="1"/>
    <col min="17" max="21" width="11" style="153"/>
    <col min="22" max="22" width="12" style="153" customWidth="1"/>
    <col min="23" max="23" width="19" style="153" customWidth="1"/>
    <col min="24" max="27" width="12" style="153" customWidth="1"/>
    <col min="28" max="28" width="14.625" style="153" customWidth="1"/>
    <col min="29" max="29" width="16.375" style="153" customWidth="1"/>
    <col min="30" max="31" width="14.625" style="153" customWidth="1"/>
    <col min="32" max="32" width="16.375" style="153" customWidth="1"/>
    <col min="33" max="35" width="14.625" style="153" customWidth="1"/>
    <col min="36" max="36" width="10.25" style="153" customWidth="1"/>
    <col min="37" max="37" width="12.625" style="153" customWidth="1"/>
    <col min="38" max="38" width="12" style="153" customWidth="1"/>
    <col min="39" max="39" width="19" style="153" customWidth="1"/>
    <col min="40" max="43" width="12" style="153" customWidth="1"/>
    <col min="44" max="44" width="14.625" style="153" customWidth="1"/>
    <col min="45" max="45" width="16.375" style="153" customWidth="1"/>
    <col min="46" max="47" width="14.625" style="153" customWidth="1"/>
    <col min="48" max="48" width="16.375" style="153" customWidth="1"/>
    <col min="49" max="51" width="14.625" style="153" customWidth="1"/>
    <col min="52" max="52" width="10.25" style="153" customWidth="1"/>
    <col min="53" max="57" width="11" style="153"/>
    <col min="58" max="58" width="70.25" style="153" customWidth="1"/>
    <col min="59" max="16384" width="11" style="153"/>
  </cols>
  <sheetData>
    <row r="1" spans="1:58" s="133" customFormat="1" thickTop="1" x14ac:dyDescent="0.25">
      <c r="A1" s="125" t="str">
        <f>ADDRESS(ROW(),COLUMN(),4)</f>
        <v>A1</v>
      </c>
      <c r="B1" s="126"/>
      <c r="C1" s="127" t="str">
        <f t="shared" ref="C1:T1" si="0">SUBSTITUTE(ADDRESS(1,COLUMN(),4),"1","")</f>
        <v>C</v>
      </c>
      <c r="D1" s="127" t="str">
        <f t="shared" si="0"/>
        <v>D</v>
      </c>
      <c r="E1" s="127" t="str">
        <f t="shared" si="0"/>
        <v>E</v>
      </c>
      <c r="F1" s="127" t="str">
        <f t="shared" si="0"/>
        <v>F</v>
      </c>
      <c r="G1" s="127" t="str">
        <f t="shared" si="0"/>
        <v>G</v>
      </c>
      <c r="H1" s="127" t="str">
        <f t="shared" si="0"/>
        <v>H</v>
      </c>
      <c r="I1" s="127" t="str">
        <f t="shared" si="0"/>
        <v>I</v>
      </c>
      <c r="J1" s="127" t="str">
        <f t="shared" si="0"/>
        <v>J</v>
      </c>
      <c r="K1" s="127" t="str">
        <f t="shared" si="0"/>
        <v>K</v>
      </c>
      <c r="L1" s="127" t="str">
        <f t="shared" si="0"/>
        <v>L</v>
      </c>
      <c r="M1" s="127" t="str">
        <f t="shared" si="0"/>
        <v>M</v>
      </c>
      <c r="N1" s="127" t="str">
        <f t="shared" si="0"/>
        <v>N</v>
      </c>
      <c r="O1" s="127" t="str">
        <f t="shared" si="0"/>
        <v>O</v>
      </c>
      <c r="P1" s="127" t="str">
        <f t="shared" si="0"/>
        <v>P</v>
      </c>
      <c r="Q1" s="127" t="str">
        <f t="shared" si="0"/>
        <v>Q</v>
      </c>
      <c r="R1" s="127" t="str">
        <f t="shared" si="0"/>
        <v>R</v>
      </c>
      <c r="S1" s="127" t="str">
        <f t="shared" si="0"/>
        <v>S</v>
      </c>
      <c r="T1" s="127" t="str">
        <f t="shared" si="0"/>
        <v>T</v>
      </c>
      <c r="U1" s="128"/>
      <c r="V1" s="127" t="str">
        <f t="shared" ref="V1:AJ1" si="1">SUBSTITUTE(ADDRESS(1,COLUMN(),4),"1","")</f>
        <v>V</v>
      </c>
      <c r="W1" s="127" t="str">
        <f t="shared" si="1"/>
        <v>W</v>
      </c>
      <c r="X1" s="127" t="str">
        <f t="shared" si="1"/>
        <v>X</v>
      </c>
      <c r="Y1" s="127" t="str">
        <f t="shared" si="1"/>
        <v>Y</v>
      </c>
      <c r="Z1" s="127" t="str">
        <f t="shared" si="1"/>
        <v>Z</v>
      </c>
      <c r="AA1" s="127" t="str">
        <f t="shared" si="1"/>
        <v>AA</v>
      </c>
      <c r="AB1" s="127" t="str">
        <f t="shared" si="1"/>
        <v>AB</v>
      </c>
      <c r="AC1" s="127" t="str">
        <f t="shared" si="1"/>
        <v>AC</v>
      </c>
      <c r="AD1" s="127" t="str">
        <f t="shared" si="1"/>
        <v>AD</v>
      </c>
      <c r="AE1" s="127" t="str">
        <f t="shared" si="1"/>
        <v>AE</v>
      </c>
      <c r="AF1" s="127" t="str">
        <f t="shared" si="1"/>
        <v>AF</v>
      </c>
      <c r="AG1" s="127" t="str">
        <f t="shared" si="1"/>
        <v>AG</v>
      </c>
      <c r="AH1" s="127" t="str">
        <f t="shared" si="1"/>
        <v>AH</v>
      </c>
      <c r="AI1" s="127" t="str">
        <f t="shared" si="1"/>
        <v>AI</v>
      </c>
      <c r="AJ1" s="127" t="str">
        <f t="shared" si="1"/>
        <v>AJ</v>
      </c>
      <c r="AK1" s="129"/>
      <c r="AL1" s="127" t="str">
        <f t="shared" ref="AL1:AZ1" si="2">SUBSTITUTE(ADDRESS(1,COLUMN(),4),"1","")</f>
        <v>AL</v>
      </c>
      <c r="AM1" s="127" t="str">
        <f t="shared" si="2"/>
        <v>AM</v>
      </c>
      <c r="AN1" s="127" t="str">
        <f t="shared" si="2"/>
        <v>AN</v>
      </c>
      <c r="AO1" s="127" t="str">
        <f t="shared" si="2"/>
        <v>AO</v>
      </c>
      <c r="AP1" s="127" t="str">
        <f t="shared" si="2"/>
        <v>AP</v>
      </c>
      <c r="AQ1" s="127" t="str">
        <f t="shared" si="2"/>
        <v>AQ</v>
      </c>
      <c r="AR1" s="127" t="str">
        <f t="shared" si="2"/>
        <v>AR</v>
      </c>
      <c r="AS1" s="127" t="str">
        <f t="shared" si="2"/>
        <v>AS</v>
      </c>
      <c r="AT1" s="127" t="str">
        <f t="shared" si="2"/>
        <v>AT</v>
      </c>
      <c r="AU1" s="127" t="str">
        <f t="shared" si="2"/>
        <v>AU</v>
      </c>
      <c r="AV1" s="127" t="str">
        <f t="shared" si="2"/>
        <v>AV</v>
      </c>
      <c r="AW1" s="127" t="str">
        <f t="shared" si="2"/>
        <v>AW</v>
      </c>
      <c r="AX1" s="127" t="str">
        <f t="shared" si="2"/>
        <v>AX</v>
      </c>
      <c r="AY1" s="127" t="str">
        <f t="shared" si="2"/>
        <v>AY</v>
      </c>
      <c r="AZ1" s="127" t="str">
        <f t="shared" si="2"/>
        <v>AZ</v>
      </c>
      <c r="BA1" s="129"/>
      <c r="BB1" s="129"/>
      <c r="BC1" s="129"/>
      <c r="BD1" s="130">
        <v>1</v>
      </c>
      <c r="BE1" s="131" t="str">
        <f>SUBSTITUTE(ADDRESS(1,COLUMN(),4),"1","")</f>
        <v>BE</v>
      </c>
      <c r="BF1" s="132" t="str">
        <f>SUBSTITUTE(ADDRESS(1,COLUMN(),4),"1","")</f>
        <v>BF</v>
      </c>
    </row>
    <row r="2" spans="1:58" s="133" customFormat="1" ht="15" x14ac:dyDescent="0.25">
      <c r="A2" s="126"/>
      <c r="B2" s="126"/>
      <c r="C2" s="134">
        <f t="shared" ref="C2:T2" ca="1" si="3">CELL("largeur",C2)</f>
        <v>11</v>
      </c>
      <c r="D2" s="134">
        <f t="shared" ca="1" si="3"/>
        <v>18</v>
      </c>
      <c r="E2" s="134">
        <f t="shared" ca="1" si="3"/>
        <v>11</v>
      </c>
      <c r="F2" s="134">
        <f t="shared" ca="1" si="3"/>
        <v>11</v>
      </c>
      <c r="G2" s="134">
        <f t="shared" ca="1" si="3"/>
        <v>11</v>
      </c>
      <c r="H2" s="134">
        <f t="shared" ca="1" si="3"/>
        <v>11</v>
      </c>
      <c r="I2" s="134">
        <f t="shared" ca="1" si="3"/>
        <v>14</v>
      </c>
      <c r="J2" s="134">
        <f t="shared" ca="1" si="3"/>
        <v>16</v>
      </c>
      <c r="K2" s="134">
        <f t="shared" ca="1" si="3"/>
        <v>14</v>
      </c>
      <c r="L2" s="134">
        <f t="shared" ca="1" si="3"/>
        <v>14</v>
      </c>
      <c r="M2" s="134">
        <f t="shared" ca="1" si="3"/>
        <v>15</v>
      </c>
      <c r="N2" s="134">
        <f t="shared" ca="1" si="3"/>
        <v>14</v>
      </c>
      <c r="O2" s="134">
        <f t="shared" ca="1" si="3"/>
        <v>14</v>
      </c>
      <c r="P2" s="134">
        <f t="shared" ca="1" si="3"/>
        <v>14</v>
      </c>
      <c r="Q2" s="134">
        <f t="shared" ca="1" si="3"/>
        <v>10</v>
      </c>
      <c r="R2" s="134">
        <f t="shared" ca="1" si="3"/>
        <v>10</v>
      </c>
      <c r="S2" s="134">
        <f t="shared" ca="1" si="3"/>
        <v>10</v>
      </c>
      <c r="T2" s="134">
        <f t="shared" ca="1" si="3"/>
        <v>10</v>
      </c>
      <c r="U2" s="128"/>
      <c r="V2" s="134">
        <f t="shared" ref="V2:AJ2" ca="1" si="4">CELL("largeur",V2)</f>
        <v>11</v>
      </c>
      <c r="W2" s="134">
        <f t="shared" ca="1" si="4"/>
        <v>18</v>
      </c>
      <c r="X2" s="134">
        <f t="shared" ca="1" si="4"/>
        <v>11</v>
      </c>
      <c r="Y2" s="134">
        <f t="shared" ca="1" si="4"/>
        <v>11</v>
      </c>
      <c r="Z2" s="134">
        <f t="shared" ca="1" si="4"/>
        <v>11</v>
      </c>
      <c r="AA2" s="134">
        <f t="shared" ca="1" si="4"/>
        <v>11</v>
      </c>
      <c r="AB2" s="134">
        <f t="shared" ca="1" si="4"/>
        <v>14</v>
      </c>
      <c r="AC2" s="134">
        <f t="shared" ca="1" si="4"/>
        <v>16</v>
      </c>
      <c r="AD2" s="134">
        <f t="shared" ca="1" si="4"/>
        <v>14</v>
      </c>
      <c r="AE2" s="134">
        <f t="shared" ca="1" si="4"/>
        <v>14</v>
      </c>
      <c r="AF2" s="134">
        <f t="shared" ca="1" si="4"/>
        <v>16</v>
      </c>
      <c r="AG2" s="134">
        <f t="shared" ca="1" si="4"/>
        <v>14</v>
      </c>
      <c r="AH2" s="134">
        <f t="shared" ca="1" si="4"/>
        <v>14</v>
      </c>
      <c r="AI2" s="134">
        <f t="shared" ca="1" si="4"/>
        <v>14</v>
      </c>
      <c r="AJ2" s="134">
        <f t="shared" ca="1" si="4"/>
        <v>10</v>
      </c>
      <c r="AK2" s="129"/>
      <c r="AL2" s="134">
        <f t="shared" ref="AL2:AZ2" ca="1" si="5">CELL("largeur",AL2)</f>
        <v>11</v>
      </c>
      <c r="AM2" s="134">
        <f t="shared" ca="1" si="5"/>
        <v>18</v>
      </c>
      <c r="AN2" s="134">
        <f t="shared" ca="1" si="5"/>
        <v>11</v>
      </c>
      <c r="AO2" s="134">
        <f t="shared" ca="1" si="5"/>
        <v>11</v>
      </c>
      <c r="AP2" s="134">
        <f t="shared" ca="1" si="5"/>
        <v>11</v>
      </c>
      <c r="AQ2" s="134">
        <f t="shared" ca="1" si="5"/>
        <v>11</v>
      </c>
      <c r="AR2" s="134">
        <f t="shared" ca="1" si="5"/>
        <v>14</v>
      </c>
      <c r="AS2" s="134">
        <f t="shared" ca="1" si="5"/>
        <v>16</v>
      </c>
      <c r="AT2" s="134">
        <f t="shared" ca="1" si="5"/>
        <v>14</v>
      </c>
      <c r="AU2" s="134">
        <f t="shared" ca="1" si="5"/>
        <v>14</v>
      </c>
      <c r="AV2" s="134">
        <f t="shared" ca="1" si="5"/>
        <v>16</v>
      </c>
      <c r="AW2" s="134">
        <f t="shared" ca="1" si="5"/>
        <v>14</v>
      </c>
      <c r="AX2" s="134">
        <f t="shared" ca="1" si="5"/>
        <v>14</v>
      </c>
      <c r="AY2" s="134">
        <f t="shared" ca="1" si="5"/>
        <v>14</v>
      </c>
      <c r="AZ2" s="134">
        <f t="shared" ca="1" si="5"/>
        <v>10</v>
      </c>
      <c r="BA2" s="129"/>
      <c r="BB2" s="129"/>
      <c r="BC2" s="129"/>
      <c r="BD2" s="130">
        <v>1</v>
      </c>
      <c r="BE2" s="135" t="s">
        <v>1442</v>
      </c>
      <c r="BF2" s="136"/>
    </row>
    <row r="3" spans="1:58" s="133" customFormat="1" x14ac:dyDescent="0.25">
      <c r="A3" s="126"/>
      <c r="B3" s="126"/>
      <c r="C3" s="137">
        <v>13</v>
      </c>
      <c r="D3" s="137">
        <v>21</v>
      </c>
      <c r="E3" s="137">
        <v>13</v>
      </c>
      <c r="F3" s="137">
        <v>13</v>
      </c>
      <c r="G3" s="137">
        <v>13</v>
      </c>
      <c r="H3" s="137">
        <v>13</v>
      </c>
      <c r="I3" s="137">
        <v>16</v>
      </c>
      <c r="J3" s="137">
        <v>18</v>
      </c>
      <c r="K3" s="137">
        <v>16</v>
      </c>
      <c r="L3" s="137">
        <v>16</v>
      </c>
      <c r="M3" s="137">
        <v>18</v>
      </c>
      <c r="N3" s="137">
        <v>16</v>
      </c>
      <c r="O3" s="137">
        <v>16</v>
      </c>
      <c r="P3" s="137">
        <v>16</v>
      </c>
      <c r="Q3" s="137">
        <v>11</v>
      </c>
      <c r="R3" s="137">
        <v>11</v>
      </c>
      <c r="S3" s="137">
        <v>11</v>
      </c>
      <c r="T3" s="137">
        <v>11</v>
      </c>
      <c r="U3" s="128"/>
      <c r="V3" s="137">
        <v>13</v>
      </c>
      <c r="W3" s="137">
        <v>21</v>
      </c>
      <c r="X3" s="137">
        <v>13</v>
      </c>
      <c r="Y3" s="137">
        <v>13</v>
      </c>
      <c r="Z3" s="137">
        <v>13</v>
      </c>
      <c r="AA3" s="137">
        <v>13</v>
      </c>
      <c r="AB3" s="137">
        <v>16</v>
      </c>
      <c r="AC3" s="137">
        <v>18</v>
      </c>
      <c r="AD3" s="137">
        <v>16</v>
      </c>
      <c r="AE3" s="137">
        <v>16</v>
      </c>
      <c r="AF3" s="137">
        <v>18</v>
      </c>
      <c r="AG3" s="137">
        <v>16</v>
      </c>
      <c r="AH3" s="137">
        <v>16</v>
      </c>
      <c r="AI3" s="137">
        <v>16</v>
      </c>
      <c r="AJ3" s="137">
        <v>11</v>
      </c>
      <c r="AK3" s="129"/>
      <c r="AL3" s="137">
        <v>13</v>
      </c>
      <c r="AM3" s="137">
        <v>21</v>
      </c>
      <c r="AN3" s="137">
        <v>13</v>
      </c>
      <c r="AO3" s="137">
        <v>13</v>
      </c>
      <c r="AP3" s="137">
        <v>13</v>
      </c>
      <c r="AQ3" s="137">
        <v>13</v>
      </c>
      <c r="AR3" s="137">
        <v>16</v>
      </c>
      <c r="AS3" s="137">
        <v>18</v>
      </c>
      <c r="AT3" s="137">
        <v>16</v>
      </c>
      <c r="AU3" s="137">
        <v>16</v>
      </c>
      <c r="AV3" s="137">
        <v>18</v>
      </c>
      <c r="AW3" s="137">
        <v>16</v>
      </c>
      <c r="AX3" s="137">
        <v>16</v>
      </c>
      <c r="AY3" s="137">
        <v>16</v>
      </c>
      <c r="AZ3" s="137">
        <v>11</v>
      </c>
      <c r="BA3" s="129"/>
      <c r="BB3" s="129"/>
      <c r="BC3" s="129"/>
      <c r="BD3" s="130">
        <v>1</v>
      </c>
      <c r="BE3" s="138">
        <f ca="1">COUNTA(A1:BD244) + COUNTBLANK(A1:BD244)</f>
        <v>13668</v>
      </c>
      <c r="BF3" s="139" t="str">
        <f>"cellules entre -cells -celdas  "&amp;" " &amp;A1&amp;" et  "&amp;BD244</f>
        <v>cellules entre -cells -celdas   A1 et  BD244</v>
      </c>
    </row>
    <row r="4" spans="1:58" s="133" customFormat="1" ht="21" customHeight="1" x14ac:dyDescent="0.25">
      <c r="A4" s="126"/>
      <c r="B4" s="126"/>
      <c r="C4" s="140" t="s">
        <v>1443</v>
      </c>
      <c r="D4" s="126"/>
      <c r="E4" s="126"/>
      <c r="F4" s="126"/>
      <c r="G4" s="126"/>
      <c r="H4" s="126"/>
      <c r="I4" s="126"/>
      <c r="J4" s="126"/>
      <c r="K4" s="126"/>
      <c r="L4" s="126"/>
      <c r="M4" s="126"/>
      <c r="N4" s="126"/>
      <c r="O4" s="126"/>
      <c r="P4" s="126"/>
      <c r="Q4" s="126"/>
      <c r="R4" s="128"/>
      <c r="S4" s="128"/>
      <c r="T4" s="128"/>
      <c r="U4" s="128"/>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30">
        <v>1</v>
      </c>
      <c r="BE4" s="138">
        <f ca="1">COUNTA(A1:BD244)</f>
        <v>1427</v>
      </c>
      <c r="BF4" s="139" t="s">
        <v>1444</v>
      </c>
    </row>
    <row r="5" spans="1:58" s="133" customFormat="1" ht="21" customHeight="1" x14ac:dyDescent="0.25">
      <c r="A5" s="126"/>
      <c r="B5" s="126"/>
      <c r="C5" s="126"/>
      <c r="D5" s="126"/>
      <c r="E5" s="126"/>
      <c r="F5" s="126"/>
      <c r="G5" s="126"/>
      <c r="H5" s="126"/>
      <c r="I5" s="126"/>
      <c r="J5" s="126"/>
      <c r="K5" s="126"/>
      <c r="L5" s="126"/>
      <c r="M5" s="126"/>
      <c r="N5" s="126"/>
      <c r="O5" s="126"/>
      <c r="P5" s="126"/>
      <c r="Q5" s="126"/>
      <c r="R5" s="128"/>
      <c r="S5" s="128"/>
      <c r="T5" s="128"/>
      <c r="U5" s="128"/>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41" t="s">
        <v>1445</v>
      </c>
      <c r="BC5" s="125" t="str">
        <f>BD244</f>
        <v>BD244</v>
      </c>
      <c r="BD5" s="130">
        <v>1</v>
      </c>
      <c r="BE5" s="138">
        <f ca="1">COUNTBLANK(A1:BD244)</f>
        <v>12241</v>
      </c>
      <c r="BF5" s="139" t="s">
        <v>1446</v>
      </c>
    </row>
    <row r="6" spans="1:58" s="133" customFormat="1" ht="30" customHeight="1" x14ac:dyDescent="0.25">
      <c r="A6" s="126"/>
      <c r="B6" s="126"/>
      <c r="C6" s="142" t="s">
        <v>1447</v>
      </c>
      <c r="D6" s="126"/>
      <c r="E6" s="126"/>
      <c r="F6" s="126"/>
      <c r="G6" s="126"/>
      <c r="H6" s="126"/>
      <c r="I6" s="126"/>
      <c r="J6" s="126"/>
      <c r="K6" s="126"/>
      <c r="L6" s="126"/>
      <c r="M6" s="126"/>
      <c r="N6" s="126"/>
      <c r="O6" s="126"/>
      <c r="P6" s="126"/>
      <c r="Q6" s="126"/>
      <c r="R6" s="128"/>
      <c r="S6" s="128"/>
      <c r="T6" s="128"/>
      <c r="U6" s="128"/>
      <c r="V6" s="142" t="s">
        <v>1448</v>
      </c>
      <c r="W6" s="129"/>
      <c r="X6" s="129"/>
      <c r="Y6" s="129"/>
      <c r="Z6" s="129"/>
      <c r="AA6" s="129"/>
      <c r="AB6" s="129"/>
      <c r="AC6" s="129"/>
      <c r="AD6" s="129"/>
      <c r="AE6" s="129"/>
      <c r="AF6" s="129"/>
      <c r="AG6" s="129"/>
      <c r="AH6" s="129"/>
      <c r="AI6" s="129"/>
      <c r="AJ6" s="129"/>
      <c r="AK6" s="129"/>
      <c r="AL6" s="142" t="s">
        <v>1449</v>
      </c>
      <c r="AM6" s="129"/>
      <c r="AN6" s="129"/>
      <c r="AO6" s="129"/>
      <c r="AP6" s="129"/>
      <c r="AQ6" s="129"/>
      <c r="AR6" s="129"/>
      <c r="AS6" s="129"/>
      <c r="AT6" s="129"/>
      <c r="AU6" s="129"/>
      <c r="AV6" s="129"/>
      <c r="AW6" s="129"/>
      <c r="AX6" s="129"/>
      <c r="AY6" s="129"/>
      <c r="AZ6" s="129"/>
      <c r="BA6" s="129"/>
      <c r="BB6" s="129"/>
      <c r="BC6" s="129"/>
      <c r="BD6" s="130">
        <v>1</v>
      </c>
      <c r="BE6" s="138">
        <f>SUM(BD1:BD242)+2</f>
        <v>238</v>
      </c>
      <c r="BF6" s="139" t="s">
        <v>1450</v>
      </c>
    </row>
    <row r="7" spans="1:58" s="133" customFormat="1" ht="30" customHeight="1" x14ac:dyDescent="0.25">
      <c r="A7" s="126"/>
      <c r="B7" s="126"/>
      <c r="C7" s="142" t="s">
        <v>1451</v>
      </c>
      <c r="D7" s="128"/>
      <c r="E7" s="128"/>
      <c r="F7" s="128"/>
      <c r="G7" s="128"/>
      <c r="H7" s="128"/>
      <c r="I7" s="128"/>
      <c r="J7" s="128"/>
      <c r="K7" s="128"/>
      <c r="L7" s="128"/>
      <c r="M7" s="128"/>
      <c r="N7" s="128"/>
      <c r="O7" s="128"/>
      <c r="P7" s="128"/>
      <c r="Q7" s="126"/>
      <c r="R7" s="128"/>
      <c r="S7" s="128"/>
      <c r="T7" s="128"/>
      <c r="U7" s="128"/>
      <c r="V7" s="142" t="s">
        <v>1452</v>
      </c>
      <c r="W7" s="128"/>
      <c r="X7" s="128"/>
      <c r="Y7" s="128"/>
      <c r="Z7" s="128"/>
      <c r="AA7" s="128"/>
      <c r="AB7" s="128"/>
      <c r="AC7" s="128"/>
      <c r="AD7" s="128"/>
      <c r="AE7" s="128"/>
      <c r="AF7" s="129"/>
      <c r="AG7" s="128"/>
      <c r="AH7" s="128"/>
      <c r="AI7" s="128"/>
      <c r="AJ7" s="128"/>
      <c r="AK7" s="128"/>
      <c r="AL7" s="142" t="s">
        <v>1453</v>
      </c>
      <c r="AM7" s="128"/>
      <c r="AN7" s="128"/>
      <c r="AO7" s="128"/>
      <c r="AP7" s="128"/>
      <c r="AQ7" s="128"/>
      <c r="AR7" s="128"/>
      <c r="AS7" s="129"/>
      <c r="AT7" s="129"/>
      <c r="AU7" s="129"/>
      <c r="AV7" s="129"/>
      <c r="AW7" s="129"/>
      <c r="AX7" s="129"/>
      <c r="AY7" s="129"/>
      <c r="AZ7" s="129"/>
      <c r="BA7" s="129"/>
      <c r="BB7" s="129"/>
      <c r="BC7" s="129"/>
      <c r="BD7" s="130">
        <v>1</v>
      </c>
      <c r="BE7" s="138">
        <f>SUM(A244:BC244)+1</f>
        <v>56</v>
      </c>
      <c r="BF7" s="139" t="s">
        <v>1454</v>
      </c>
    </row>
    <row r="8" spans="1:58" s="133" customFormat="1" ht="30" customHeight="1" x14ac:dyDescent="0.25">
      <c r="A8" s="126"/>
      <c r="B8" s="126"/>
      <c r="C8" s="142" t="s">
        <v>1455</v>
      </c>
      <c r="D8" s="143"/>
      <c r="E8" s="143"/>
      <c r="F8" s="143"/>
      <c r="G8" s="143"/>
      <c r="H8" s="143"/>
      <c r="I8" s="143"/>
      <c r="J8" s="143"/>
      <c r="K8" s="143"/>
      <c r="L8" s="128"/>
      <c r="M8" s="128"/>
      <c r="N8" s="128"/>
      <c r="O8" s="128"/>
      <c r="P8" s="128"/>
      <c r="Q8" s="126"/>
      <c r="R8" s="128"/>
      <c r="S8" s="128"/>
      <c r="T8" s="128"/>
      <c r="U8" s="128"/>
      <c r="V8" s="142" t="s">
        <v>1456</v>
      </c>
      <c r="W8" s="143"/>
      <c r="X8" s="143"/>
      <c r="Y8" s="143"/>
      <c r="Z8" s="143"/>
      <c r="AA8" s="143"/>
      <c r="AB8" s="143"/>
      <c r="AC8" s="143"/>
      <c r="AD8" s="143"/>
      <c r="AE8" s="128"/>
      <c r="AF8" s="129"/>
      <c r="AG8" s="128"/>
      <c r="AH8" s="128"/>
      <c r="AI8" s="128"/>
      <c r="AJ8" s="128"/>
      <c r="AK8" s="128"/>
      <c r="AL8" s="142" t="s">
        <v>1457</v>
      </c>
      <c r="AM8" s="143"/>
      <c r="AN8" s="143"/>
      <c r="AO8" s="143"/>
      <c r="AP8" s="143"/>
      <c r="AQ8" s="143"/>
      <c r="AR8" s="143"/>
      <c r="AS8" s="129"/>
      <c r="AT8" s="129"/>
      <c r="AU8" s="129"/>
      <c r="AV8" s="129"/>
      <c r="AW8" s="129"/>
      <c r="AX8" s="129"/>
      <c r="AY8" s="129"/>
      <c r="AZ8" s="129"/>
      <c r="BA8" s="129"/>
      <c r="BB8" s="129"/>
      <c r="BC8" s="129"/>
      <c r="BD8" s="130">
        <v>1</v>
      </c>
    </row>
    <row r="9" spans="1:58" s="133" customFormat="1" ht="30" customHeight="1" x14ac:dyDescent="0.25">
      <c r="A9" s="126"/>
      <c r="B9" s="126"/>
      <c r="C9" s="142" t="s">
        <v>1458</v>
      </c>
      <c r="D9" s="143"/>
      <c r="E9" s="143"/>
      <c r="F9" s="143"/>
      <c r="G9" s="143"/>
      <c r="H9" s="143"/>
      <c r="I9" s="143"/>
      <c r="J9" s="143"/>
      <c r="K9" s="143"/>
      <c r="L9" s="128"/>
      <c r="M9" s="128"/>
      <c r="N9" s="128"/>
      <c r="O9" s="128"/>
      <c r="P9" s="128"/>
      <c r="Q9" s="128"/>
      <c r="R9" s="128"/>
      <c r="S9" s="128"/>
      <c r="T9" s="128"/>
      <c r="U9" s="128"/>
      <c r="V9" s="142" t="s">
        <v>1459</v>
      </c>
      <c r="W9" s="143"/>
      <c r="X9" s="143"/>
      <c r="Y9" s="143"/>
      <c r="Z9" s="143"/>
      <c r="AA9" s="143"/>
      <c r="AB9" s="143"/>
      <c r="AC9" s="143"/>
      <c r="AD9" s="143"/>
      <c r="AE9" s="128"/>
      <c r="AF9" s="129"/>
      <c r="AG9" s="128"/>
      <c r="AH9" s="128"/>
      <c r="AI9" s="128"/>
      <c r="AJ9" s="128"/>
      <c r="AK9" s="128"/>
      <c r="AL9" s="142" t="s">
        <v>1460</v>
      </c>
      <c r="AM9" s="143"/>
      <c r="AN9" s="143"/>
      <c r="AO9" s="143"/>
      <c r="AP9" s="143"/>
      <c r="AQ9" s="143"/>
      <c r="AR9" s="143"/>
      <c r="AS9" s="129"/>
      <c r="AT9" s="129"/>
      <c r="AU9" s="129"/>
      <c r="AV9" s="129"/>
      <c r="AW9" s="129"/>
      <c r="AX9" s="129"/>
      <c r="AY9" s="129"/>
      <c r="AZ9" s="129"/>
      <c r="BA9" s="129"/>
      <c r="BB9" s="129"/>
      <c r="BC9" s="129"/>
      <c r="BD9" s="130">
        <v>1</v>
      </c>
    </row>
    <row r="10" spans="1:58" s="133" customFormat="1" ht="30" customHeight="1" x14ac:dyDescent="0.25">
      <c r="A10" s="126"/>
      <c r="B10" s="126"/>
      <c r="C10" s="142"/>
      <c r="D10" s="144"/>
      <c r="E10" s="144"/>
      <c r="F10" s="144"/>
      <c r="G10" s="144"/>
      <c r="H10" s="144"/>
      <c r="I10" s="144"/>
      <c r="J10" s="144"/>
      <c r="K10" s="144"/>
      <c r="L10" s="144"/>
      <c r="M10" s="144"/>
      <c r="N10" s="144"/>
      <c r="O10" s="144"/>
      <c r="P10" s="144"/>
      <c r="Q10" s="144"/>
      <c r="R10" s="144"/>
      <c r="S10" s="144"/>
      <c r="T10" s="144"/>
      <c r="U10" s="144"/>
      <c r="V10" s="142"/>
      <c r="W10" s="144"/>
      <c r="X10" s="144"/>
      <c r="Y10" s="144"/>
      <c r="Z10" s="144"/>
      <c r="AA10" s="144"/>
      <c r="AB10" s="144"/>
      <c r="AC10" s="144"/>
      <c r="AD10" s="144"/>
      <c r="AE10" s="144"/>
      <c r="AF10" s="129"/>
      <c r="AG10" s="144"/>
      <c r="AH10" s="144"/>
      <c r="AI10" s="144"/>
      <c r="AJ10" s="144"/>
      <c r="AK10" s="144"/>
      <c r="AL10" s="142"/>
      <c r="AM10" s="144"/>
      <c r="AN10" s="144"/>
      <c r="AO10" s="144"/>
      <c r="AP10" s="144"/>
      <c r="AQ10" s="144"/>
      <c r="AR10" s="144"/>
      <c r="AS10" s="129"/>
      <c r="AT10" s="129"/>
      <c r="AU10" s="129"/>
      <c r="AV10" s="129"/>
      <c r="AW10" s="129"/>
      <c r="AX10" s="129"/>
      <c r="AY10" s="129"/>
      <c r="AZ10" s="129"/>
      <c r="BA10" s="129"/>
      <c r="BB10" s="129"/>
      <c r="BC10" s="129"/>
      <c r="BD10" s="130">
        <v>1</v>
      </c>
    </row>
    <row r="11" spans="1:58" s="133" customFormat="1" ht="30" customHeight="1" x14ac:dyDescent="0.25">
      <c r="A11" s="126"/>
      <c r="B11" s="126"/>
      <c r="C11" s="142" t="s">
        <v>1461</v>
      </c>
      <c r="D11" s="144"/>
      <c r="E11" s="144"/>
      <c r="F11" s="144"/>
      <c r="G11" s="144"/>
      <c r="H11" s="144"/>
      <c r="I11" s="144"/>
      <c r="J11" s="144"/>
      <c r="K11" s="144"/>
      <c r="L11" s="144"/>
      <c r="M11" s="144"/>
      <c r="N11" s="144"/>
      <c r="O11" s="144"/>
      <c r="P11" s="144"/>
      <c r="Q11" s="144"/>
      <c r="R11" s="144"/>
      <c r="S11" s="144"/>
      <c r="T11" s="144"/>
      <c r="U11" s="144"/>
      <c r="V11" s="142" t="s">
        <v>1462</v>
      </c>
      <c r="W11" s="144"/>
      <c r="X11" s="144"/>
      <c r="Y11" s="144"/>
      <c r="Z11" s="144"/>
      <c r="AA11" s="144"/>
      <c r="AB11" s="144"/>
      <c r="AC11" s="144"/>
      <c r="AD11" s="144"/>
      <c r="AE11" s="144"/>
      <c r="AF11" s="129"/>
      <c r="AG11" s="144"/>
      <c r="AH11" s="144"/>
      <c r="AI11" s="144"/>
      <c r="AJ11" s="144"/>
      <c r="AK11" s="144"/>
      <c r="AL11" s="142" t="s">
        <v>1463</v>
      </c>
      <c r="AM11" s="144"/>
      <c r="AN11" s="144"/>
      <c r="AO11" s="144"/>
      <c r="AP11" s="144"/>
      <c r="AQ11" s="144"/>
      <c r="AR11" s="144"/>
      <c r="AS11" s="129"/>
      <c r="AT11" s="129"/>
      <c r="AU11" s="129"/>
      <c r="AV11" s="129"/>
      <c r="AW11" s="129"/>
      <c r="AX11" s="129"/>
      <c r="AY11" s="129"/>
      <c r="AZ11" s="129"/>
      <c r="BA11" s="129"/>
      <c r="BB11" s="129"/>
      <c r="BC11" s="129"/>
      <c r="BD11" s="130">
        <v>1</v>
      </c>
    </row>
    <row r="12" spans="1:58" s="133" customFormat="1" ht="30" customHeight="1" x14ac:dyDescent="0.25">
      <c r="A12" s="126"/>
      <c r="B12" s="126"/>
      <c r="C12" s="142" t="s">
        <v>1464</v>
      </c>
      <c r="D12" s="144"/>
      <c r="E12" s="144"/>
      <c r="F12" s="144"/>
      <c r="G12" s="144"/>
      <c r="H12" s="144"/>
      <c r="I12" s="144"/>
      <c r="J12" s="144"/>
      <c r="K12" s="144"/>
      <c r="L12" s="144"/>
      <c r="M12" s="144"/>
      <c r="N12" s="144"/>
      <c r="O12" s="144"/>
      <c r="P12" s="144"/>
      <c r="Q12" s="144"/>
      <c r="R12" s="144"/>
      <c r="S12" s="144"/>
      <c r="T12" s="144"/>
      <c r="U12" s="144"/>
      <c r="V12" s="142" t="s">
        <v>1465</v>
      </c>
      <c r="W12" s="144"/>
      <c r="X12" s="144"/>
      <c r="Y12" s="144"/>
      <c r="Z12" s="144"/>
      <c r="AA12" s="144"/>
      <c r="AB12" s="144"/>
      <c r="AC12" s="144"/>
      <c r="AD12" s="144"/>
      <c r="AE12" s="144"/>
      <c r="AF12" s="129"/>
      <c r="AG12" s="144"/>
      <c r="AH12" s="144"/>
      <c r="AI12" s="144"/>
      <c r="AJ12" s="144"/>
      <c r="AK12" s="144"/>
      <c r="AL12" s="142" t="s">
        <v>1466</v>
      </c>
      <c r="AM12" s="144"/>
      <c r="AN12" s="144"/>
      <c r="AO12" s="144"/>
      <c r="AP12" s="144"/>
      <c r="AQ12" s="144"/>
      <c r="AR12" s="144"/>
      <c r="AS12" s="129"/>
      <c r="AT12" s="129"/>
      <c r="AU12" s="129"/>
      <c r="AV12" s="129"/>
      <c r="AW12" s="129"/>
      <c r="AX12" s="129"/>
      <c r="AY12" s="129"/>
      <c r="AZ12" s="129"/>
      <c r="BA12" s="129"/>
      <c r="BB12" s="129"/>
      <c r="BC12" s="129"/>
      <c r="BD12" s="130">
        <v>1</v>
      </c>
    </row>
    <row r="13" spans="1:58" s="133" customFormat="1" ht="30" customHeight="1" x14ac:dyDescent="0.25">
      <c r="A13" s="126"/>
      <c r="B13" s="126"/>
      <c r="C13" s="142"/>
      <c r="D13" s="144"/>
      <c r="E13" s="144"/>
      <c r="F13" s="144"/>
      <c r="G13" s="144"/>
      <c r="H13" s="144"/>
      <c r="I13" s="144"/>
      <c r="J13" s="144"/>
      <c r="K13" s="144"/>
      <c r="L13" s="144"/>
      <c r="M13" s="144"/>
      <c r="N13" s="144"/>
      <c r="O13" s="144"/>
      <c r="P13" s="144"/>
      <c r="Q13" s="144"/>
      <c r="R13" s="144"/>
      <c r="S13" s="144"/>
      <c r="T13" s="144"/>
      <c r="U13" s="144"/>
      <c r="V13" s="142"/>
      <c r="W13" s="144"/>
      <c r="X13" s="144"/>
      <c r="Y13" s="144"/>
      <c r="Z13" s="144"/>
      <c r="AA13" s="144"/>
      <c r="AB13" s="144"/>
      <c r="AC13" s="144"/>
      <c r="AD13" s="144"/>
      <c r="AE13" s="144"/>
      <c r="AF13" s="129"/>
      <c r="AG13" s="144"/>
      <c r="AH13" s="144"/>
      <c r="AI13" s="144"/>
      <c r="AJ13" s="144"/>
      <c r="AK13" s="144"/>
      <c r="AL13" s="142"/>
      <c r="AM13" s="144"/>
      <c r="AN13" s="144"/>
      <c r="AO13" s="144"/>
      <c r="AP13" s="144"/>
      <c r="AQ13" s="144"/>
      <c r="AR13" s="144"/>
      <c r="AS13" s="129"/>
      <c r="AT13" s="129"/>
      <c r="AU13" s="129"/>
      <c r="AV13" s="129"/>
      <c r="AW13" s="129"/>
      <c r="AX13" s="129"/>
      <c r="AY13" s="129"/>
      <c r="AZ13" s="129"/>
      <c r="BA13" s="129"/>
      <c r="BB13" s="129"/>
      <c r="BC13" s="129"/>
      <c r="BD13" s="130">
        <v>1</v>
      </c>
    </row>
    <row r="14" spans="1:58" s="133" customFormat="1" ht="30" customHeight="1" x14ac:dyDescent="0.25">
      <c r="A14" s="126"/>
      <c r="B14" s="126"/>
      <c r="C14" s="142" t="s">
        <v>1467</v>
      </c>
      <c r="D14" s="144"/>
      <c r="E14" s="144"/>
      <c r="F14" s="144"/>
      <c r="G14" s="144"/>
      <c r="H14" s="144"/>
      <c r="I14" s="144"/>
      <c r="J14" s="144"/>
      <c r="K14" s="144"/>
      <c r="L14" s="144"/>
      <c r="M14" s="144"/>
      <c r="N14" s="144"/>
      <c r="O14" s="144"/>
      <c r="P14" s="144"/>
      <c r="Q14" s="144"/>
      <c r="R14" s="144"/>
      <c r="S14" s="144"/>
      <c r="T14" s="144"/>
      <c r="U14" s="144"/>
      <c r="V14" s="142" t="s">
        <v>1468</v>
      </c>
      <c r="W14" s="144"/>
      <c r="X14" s="144"/>
      <c r="Y14" s="144"/>
      <c r="Z14" s="144"/>
      <c r="AA14" s="144"/>
      <c r="AB14" s="144"/>
      <c r="AC14" s="144"/>
      <c r="AD14" s="144"/>
      <c r="AE14" s="144"/>
      <c r="AF14" s="129"/>
      <c r="AG14" s="144"/>
      <c r="AH14" s="144"/>
      <c r="AI14" s="144"/>
      <c r="AJ14" s="144"/>
      <c r="AK14" s="144"/>
      <c r="AL14" s="142" t="s">
        <v>1469</v>
      </c>
      <c r="AM14" s="144"/>
      <c r="AN14" s="144"/>
      <c r="AO14" s="144"/>
      <c r="AP14" s="144"/>
      <c r="AQ14" s="144"/>
      <c r="AR14" s="144"/>
      <c r="AS14" s="129"/>
      <c r="AT14" s="129"/>
      <c r="AU14" s="129"/>
      <c r="AV14" s="129"/>
      <c r="AW14" s="129"/>
      <c r="AX14" s="129"/>
      <c r="AY14" s="129"/>
      <c r="AZ14" s="129"/>
      <c r="BA14" s="129"/>
      <c r="BB14" s="129"/>
      <c r="BC14" s="129"/>
      <c r="BD14" s="130">
        <v>1</v>
      </c>
    </row>
    <row r="15" spans="1:58" s="133" customFormat="1" ht="30" customHeight="1" x14ac:dyDescent="0.25">
      <c r="A15" s="126"/>
      <c r="B15" s="126"/>
      <c r="C15" s="142" t="s">
        <v>1470</v>
      </c>
      <c r="D15" s="144"/>
      <c r="E15" s="144"/>
      <c r="F15" s="144"/>
      <c r="G15" s="144"/>
      <c r="H15" s="144"/>
      <c r="I15" s="144"/>
      <c r="J15" s="144"/>
      <c r="K15" s="144"/>
      <c r="L15" s="144"/>
      <c r="M15" s="144"/>
      <c r="N15" s="144"/>
      <c r="O15" s="144"/>
      <c r="P15" s="144"/>
      <c r="Q15" s="144"/>
      <c r="R15" s="144"/>
      <c r="S15" s="144"/>
      <c r="T15" s="144"/>
      <c r="U15" s="144"/>
      <c r="V15" s="142" t="s">
        <v>1471</v>
      </c>
      <c r="W15" s="144"/>
      <c r="X15" s="144"/>
      <c r="Y15" s="144"/>
      <c r="Z15" s="144"/>
      <c r="AA15" s="144"/>
      <c r="AB15" s="144"/>
      <c r="AC15" s="144"/>
      <c r="AD15" s="144"/>
      <c r="AE15" s="144"/>
      <c r="AF15" s="129"/>
      <c r="AG15" s="144"/>
      <c r="AH15" s="144"/>
      <c r="AI15" s="144"/>
      <c r="AJ15" s="144"/>
      <c r="AK15" s="144"/>
      <c r="AL15" s="142" t="s">
        <v>1472</v>
      </c>
      <c r="AM15" s="144"/>
      <c r="AN15" s="144"/>
      <c r="AO15" s="144"/>
      <c r="AP15" s="144"/>
      <c r="AQ15" s="144"/>
      <c r="AR15" s="144"/>
      <c r="AS15" s="129"/>
      <c r="AT15" s="129"/>
      <c r="AU15" s="129"/>
      <c r="AV15" s="129"/>
      <c r="AW15" s="129"/>
      <c r="AX15" s="129"/>
      <c r="AY15" s="129"/>
      <c r="AZ15" s="129"/>
      <c r="BA15" s="129"/>
      <c r="BB15" s="129"/>
      <c r="BC15" s="129"/>
      <c r="BD15" s="130">
        <v>1</v>
      </c>
    </row>
    <row r="16" spans="1:58" s="133" customFormat="1" ht="30" customHeight="1" x14ac:dyDescent="0.25">
      <c r="A16" s="126"/>
      <c r="B16" s="126"/>
      <c r="C16" s="142"/>
      <c r="D16" s="144"/>
      <c r="E16" s="144"/>
      <c r="F16" s="144"/>
      <c r="G16" s="144"/>
      <c r="H16" s="144"/>
      <c r="I16" s="144"/>
      <c r="J16" s="144"/>
      <c r="K16" s="144"/>
      <c r="L16" s="144"/>
      <c r="M16" s="144"/>
      <c r="N16" s="144"/>
      <c r="O16" s="144"/>
      <c r="P16" s="144"/>
      <c r="Q16" s="144"/>
      <c r="R16" s="144"/>
      <c r="S16" s="144"/>
      <c r="T16" s="144"/>
      <c r="U16" s="144"/>
      <c r="V16" s="142"/>
      <c r="W16" s="144"/>
      <c r="X16" s="144"/>
      <c r="Y16" s="144"/>
      <c r="Z16" s="144"/>
      <c r="AA16" s="144"/>
      <c r="AB16" s="144"/>
      <c r="AC16" s="144"/>
      <c r="AD16" s="144"/>
      <c r="AE16" s="144"/>
      <c r="AF16" s="129"/>
      <c r="AG16" s="144"/>
      <c r="AH16" s="144"/>
      <c r="AI16" s="144"/>
      <c r="AJ16" s="144"/>
      <c r="AK16" s="144"/>
      <c r="AL16" s="142"/>
      <c r="AM16" s="144"/>
      <c r="AN16" s="144"/>
      <c r="AO16" s="144"/>
      <c r="AP16" s="144"/>
      <c r="AQ16" s="144"/>
      <c r="AR16" s="144"/>
      <c r="AS16" s="129"/>
      <c r="AT16" s="129"/>
      <c r="AU16" s="129"/>
      <c r="AV16" s="129"/>
      <c r="AW16" s="129"/>
      <c r="AX16" s="129"/>
      <c r="AY16" s="129"/>
      <c r="AZ16" s="129"/>
      <c r="BA16" s="129"/>
      <c r="BB16" s="129"/>
      <c r="BC16" s="129"/>
      <c r="BD16" s="130">
        <v>1</v>
      </c>
    </row>
    <row r="17" spans="1:56" s="133" customFormat="1" ht="30" customHeight="1" x14ac:dyDescent="0.25">
      <c r="A17" s="126"/>
      <c r="B17" s="126"/>
      <c r="C17" s="142" t="s">
        <v>1473</v>
      </c>
      <c r="D17" s="144"/>
      <c r="E17" s="144"/>
      <c r="F17" s="144"/>
      <c r="G17" s="144"/>
      <c r="H17" s="144"/>
      <c r="I17" s="144"/>
      <c r="J17" s="144"/>
      <c r="K17" s="144"/>
      <c r="L17" s="144"/>
      <c r="M17" s="144"/>
      <c r="N17" s="144"/>
      <c r="O17" s="144"/>
      <c r="P17" s="144"/>
      <c r="Q17" s="144"/>
      <c r="R17" s="144"/>
      <c r="S17" s="144"/>
      <c r="T17" s="144"/>
      <c r="U17" s="144"/>
      <c r="V17" s="142" t="s">
        <v>1474</v>
      </c>
      <c r="W17" s="144"/>
      <c r="X17" s="144"/>
      <c r="Y17" s="144"/>
      <c r="Z17" s="144"/>
      <c r="AA17" s="144"/>
      <c r="AB17" s="144"/>
      <c r="AC17" s="144"/>
      <c r="AD17" s="144"/>
      <c r="AE17" s="144"/>
      <c r="AF17" s="129"/>
      <c r="AG17" s="144"/>
      <c r="AH17" s="144"/>
      <c r="AI17" s="144"/>
      <c r="AJ17" s="144"/>
      <c r="AK17" s="144"/>
      <c r="AL17" s="142" t="s">
        <v>1475</v>
      </c>
      <c r="AM17" s="144"/>
      <c r="AN17" s="144"/>
      <c r="AO17" s="144"/>
      <c r="AP17" s="144"/>
      <c r="AQ17" s="144"/>
      <c r="AR17" s="144"/>
      <c r="AS17" s="129"/>
      <c r="AT17" s="129"/>
      <c r="AU17" s="129"/>
      <c r="AV17" s="129"/>
      <c r="AW17" s="129"/>
      <c r="AX17" s="129"/>
      <c r="AY17" s="129"/>
      <c r="AZ17" s="129"/>
      <c r="BA17" s="129"/>
      <c r="BB17" s="129"/>
      <c r="BC17" s="129"/>
      <c r="BD17" s="130">
        <v>1</v>
      </c>
    </row>
    <row r="18" spans="1:56" s="133" customFormat="1" ht="30" customHeight="1" x14ac:dyDescent="0.25">
      <c r="A18" s="126"/>
      <c r="B18" s="126"/>
      <c r="C18" s="142" t="s">
        <v>1476</v>
      </c>
      <c r="D18" s="144"/>
      <c r="E18" s="144"/>
      <c r="F18" s="144"/>
      <c r="G18" s="144"/>
      <c r="H18" s="144"/>
      <c r="I18" s="144"/>
      <c r="J18" s="144"/>
      <c r="K18" s="144"/>
      <c r="L18" s="144"/>
      <c r="M18" s="144"/>
      <c r="N18" s="144"/>
      <c r="O18" s="144"/>
      <c r="P18" s="144"/>
      <c r="Q18" s="144"/>
      <c r="R18" s="144"/>
      <c r="S18" s="144"/>
      <c r="T18" s="144"/>
      <c r="U18" s="144"/>
      <c r="V18" s="142" t="s">
        <v>1477</v>
      </c>
      <c r="W18" s="144"/>
      <c r="X18" s="144"/>
      <c r="Y18" s="144"/>
      <c r="Z18" s="144"/>
      <c r="AA18" s="144"/>
      <c r="AB18" s="144"/>
      <c r="AC18" s="144"/>
      <c r="AD18" s="144"/>
      <c r="AE18" s="144"/>
      <c r="AF18" s="129"/>
      <c r="AG18" s="144"/>
      <c r="AH18" s="144"/>
      <c r="AI18" s="144"/>
      <c r="AJ18" s="144"/>
      <c r="AK18" s="144"/>
      <c r="AL18" s="142" t="s">
        <v>1478</v>
      </c>
      <c r="AM18" s="144"/>
      <c r="AN18" s="144"/>
      <c r="AO18" s="144"/>
      <c r="AP18" s="144"/>
      <c r="AQ18" s="144"/>
      <c r="AR18" s="144"/>
      <c r="AS18" s="129"/>
      <c r="AT18" s="129"/>
      <c r="AU18" s="129"/>
      <c r="AV18" s="129"/>
      <c r="AW18" s="129"/>
      <c r="AX18" s="129"/>
      <c r="AY18" s="129"/>
      <c r="AZ18" s="129"/>
      <c r="BA18" s="129"/>
      <c r="BB18" s="129"/>
      <c r="BC18" s="129"/>
      <c r="BD18" s="130">
        <v>1</v>
      </c>
    </row>
    <row r="19" spans="1:56" s="133" customFormat="1" ht="30" customHeight="1" x14ac:dyDescent="0.25">
      <c r="A19" s="126"/>
      <c r="B19" s="126"/>
      <c r="C19" s="142"/>
      <c r="D19" s="144"/>
      <c r="E19" s="144"/>
      <c r="F19" s="144"/>
      <c r="G19" s="144"/>
      <c r="H19" s="144"/>
      <c r="I19" s="144"/>
      <c r="J19" s="144"/>
      <c r="K19" s="144"/>
      <c r="L19" s="144"/>
      <c r="M19" s="144"/>
      <c r="N19" s="144"/>
      <c r="O19" s="144"/>
      <c r="P19" s="144"/>
      <c r="Q19" s="144"/>
      <c r="R19" s="144"/>
      <c r="S19" s="144"/>
      <c r="T19" s="144"/>
      <c r="U19" s="144"/>
      <c r="V19" s="142"/>
      <c r="W19" s="144"/>
      <c r="X19" s="144"/>
      <c r="Y19" s="144"/>
      <c r="Z19" s="144"/>
      <c r="AA19" s="144"/>
      <c r="AB19" s="144"/>
      <c r="AC19" s="144"/>
      <c r="AD19" s="144"/>
      <c r="AE19" s="144"/>
      <c r="AF19" s="129"/>
      <c r="AG19" s="144"/>
      <c r="AH19" s="144"/>
      <c r="AI19" s="144"/>
      <c r="AJ19" s="144"/>
      <c r="AK19" s="144"/>
      <c r="AL19" s="142"/>
      <c r="AM19" s="144"/>
      <c r="AN19" s="144"/>
      <c r="AO19" s="144"/>
      <c r="AP19" s="144"/>
      <c r="AQ19" s="144"/>
      <c r="AR19" s="144"/>
      <c r="AS19" s="129"/>
      <c r="AT19" s="129"/>
      <c r="AU19" s="129"/>
      <c r="AV19" s="129"/>
      <c r="AW19" s="129"/>
      <c r="AX19" s="129"/>
      <c r="AY19" s="129"/>
      <c r="AZ19" s="129"/>
      <c r="BA19" s="129"/>
      <c r="BB19" s="129"/>
      <c r="BC19" s="129"/>
      <c r="BD19" s="130">
        <v>1</v>
      </c>
    </row>
    <row r="20" spans="1:56" s="133" customFormat="1" ht="30" customHeight="1" x14ac:dyDescent="0.25">
      <c r="A20" s="126"/>
      <c r="B20" s="126"/>
      <c r="C20" s="145" t="s">
        <v>1479</v>
      </c>
      <c r="D20" s="144"/>
      <c r="E20" s="144"/>
      <c r="F20" s="144"/>
      <c r="G20" s="144"/>
      <c r="H20" s="144"/>
      <c r="I20" s="144"/>
      <c r="J20" s="144"/>
      <c r="K20" s="144"/>
      <c r="L20" s="144"/>
      <c r="M20" s="144"/>
      <c r="N20" s="144"/>
      <c r="O20" s="144"/>
      <c r="P20" s="144"/>
      <c r="Q20" s="144"/>
      <c r="R20" s="144"/>
      <c r="S20" s="144"/>
      <c r="T20" s="144"/>
      <c r="U20" s="144"/>
      <c r="V20" s="145" t="s">
        <v>1480</v>
      </c>
      <c r="W20" s="144"/>
      <c r="X20" s="144"/>
      <c r="Y20" s="144"/>
      <c r="Z20" s="144"/>
      <c r="AA20" s="144"/>
      <c r="AB20" s="144"/>
      <c r="AC20" s="144"/>
      <c r="AD20" s="144"/>
      <c r="AE20" s="144"/>
      <c r="AF20" s="129"/>
      <c r="AG20" s="144"/>
      <c r="AH20" s="144"/>
      <c r="AI20" s="144"/>
      <c r="AJ20" s="144"/>
      <c r="AK20" s="144"/>
      <c r="AL20" s="145" t="s">
        <v>1481</v>
      </c>
      <c r="AM20" s="144"/>
      <c r="AN20" s="144"/>
      <c r="AO20" s="144"/>
      <c r="AP20" s="144"/>
      <c r="AQ20" s="144"/>
      <c r="AR20" s="144"/>
      <c r="AS20" s="129"/>
      <c r="AT20" s="129"/>
      <c r="AU20" s="129"/>
      <c r="AV20" s="129"/>
      <c r="AW20" s="129"/>
      <c r="AX20" s="129"/>
      <c r="AY20" s="129"/>
      <c r="AZ20" s="129"/>
      <c r="BA20" s="129"/>
      <c r="BB20" s="129"/>
      <c r="BC20" s="129"/>
      <c r="BD20" s="130">
        <v>1</v>
      </c>
    </row>
    <row r="21" spans="1:56" s="133" customFormat="1" ht="30" customHeight="1" x14ac:dyDescent="0.25">
      <c r="A21" s="126"/>
      <c r="B21" s="126"/>
      <c r="C21" s="145" t="s">
        <v>1482</v>
      </c>
      <c r="D21" s="144"/>
      <c r="E21" s="144"/>
      <c r="F21" s="144"/>
      <c r="G21" s="144"/>
      <c r="H21" s="144"/>
      <c r="I21" s="144"/>
      <c r="J21" s="144"/>
      <c r="K21" s="144"/>
      <c r="L21" s="144"/>
      <c r="M21" s="144"/>
      <c r="N21" s="144"/>
      <c r="O21" s="144"/>
      <c r="P21" s="144"/>
      <c r="Q21" s="144"/>
      <c r="R21" s="144"/>
      <c r="S21" s="144"/>
      <c r="T21" s="144"/>
      <c r="U21" s="144"/>
      <c r="V21" s="145" t="s">
        <v>1483</v>
      </c>
      <c r="W21" s="144"/>
      <c r="X21" s="144"/>
      <c r="Y21" s="144"/>
      <c r="Z21" s="144"/>
      <c r="AA21" s="144"/>
      <c r="AB21" s="144"/>
      <c r="AC21" s="144"/>
      <c r="AD21" s="144"/>
      <c r="AE21" s="144"/>
      <c r="AF21" s="129"/>
      <c r="AG21" s="144"/>
      <c r="AH21" s="144"/>
      <c r="AI21" s="144"/>
      <c r="AJ21" s="144"/>
      <c r="AK21" s="144"/>
      <c r="AL21" s="145" t="s">
        <v>1484</v>
      </c>
      <c r="AM21" s="144"/>
      <c r="AN21" s="144"/>
      <c r="AO21" s="144"/>
      <c r="AP21" s="144"/>
      <c r="AQ21" s="144"/>
      <c r="AR21" s="144"/>
      <c r="AS21" s="129"/>
      <c r="AT21" s="129"/>
      <c r="AU21" s="129"/>
      <c r="AV21" s="129"/>
      <c r="AW21" s="129"/>
      <c r="AX21" s="129"/>
      <c r="AY21" s="129"/>
      <c r="AZ21" s="129"/>
      <c r="BA21" s="129"/>
      <c r="BB21" s="129"/>
      <c r="BC21" s="129"/>
      <c r="BD21" s="130"/>
    </row>
    <row r="22" spans="1:56" s="133" customFormat="1" ht="30" customHeight="1" x14ac:dyDescent="0.25">
      <c r="A22" s="126"/>
      <c r="B22" s="126"/>
      <c r="C22" s="145" t="s">
        <v>1485</v>
      </c>
      <c r="D22" s="144"/>
      <c r="E22" s="144"/>
      <c r="F22" s="144"/>
      <c r="G22" s="144"/>
      <c r="H22" s="144"/>
      <c r="I22" s="144"/>
      <c r="J22" s="144"/>
      <c r="K22" s="144"/>
      <c r="L22" s="144"/>
      <c r="M22" s="144"/>
      <c r="N22" s="144"/>
      <c r="O22" s="144"/>
      <c r="P22" s="144"/>
      <c r="Q22" s="144"/>
      <c r="R22" s="144"/>
      <c r="S22" s="144"/>
      <c r="T22" s="144"/>
      <c r="U22" s="144"/>
      <c r="V22" s="145" t="s">
        <v>1486</v>
      </c>
      <c r="W22" s="144"/>
      <c r="X22" s="144"/>
      <c r="Y22" s="144"/>
      <c r="Z22" s="144"/>
      <c r="AA22" s="144"/>
      <c r="AB22" s="144"/>
      <c r="AC22" s="144"/>
      <c r="AD22" s="144"/>
      <c r="AE22" s="144"/>
      <c r="AF22" s="129"/>
      <c r="AG22" s="144"/>
      <c r="AH22" s="144"/>
      <c r="AI22" s="144"/>
      <c r="AJ22" s="144"/>
      <c r="AK22" s="144"/>
      <c r="AL22" s="145" t="s">
        <v>1487</v>
      </c>
      <c r="AM22" s="144"/>
      <c r="AN22" s="144"/>
      <c r="AO22" s="144"/>
      <c r="AP22" s="144"/>
      <c r="AQ22" s="144"/>
      <c r="AR22" s="144"/>
      <c r="AS22" s="129"/>
      <c r="AT22" s="129"/>
      <c r="AU22" s="129"/>
      <c r="AV22" s="129"/>
      <c r="AW22" s="129"/>
      <c r="AX22" s="129"/>
      <c r="AY22" s="129"/>
      <c r="AZ22" s="129"/>
      <c r="BA22" s="129"/>
      <c r="BB22" s="129"/>
      <c r="BC22" s="129"/>
      <c r="BD22" s="130"/>
    </row>
    <row r="23" spans="1:56" s="133" customFormat="1" ht="30" customHeight="1" x14ac:dyDescent="0.25">
      <c r="A23" s="126"/>
      <c r="B23" s="126"/>
      <c r="C23" s="145"/>
      <c r="D23" s="144"/>
      <c r="E23" s="144"/>
      <c r="F23" s="144"/>
      <c r="G23" s="144"/>
      <c r="H23" s="144"/>
      <c r="I23" s="144"/>
      <c r="J23" s="144"/>
      <c r="K23" s="144"/>
      <c r="L23" s="144"/>
      <c r="M23" s="144"/>
      <c r="N23" s="144"/>
      <c r="O23" s="144"/>
      <c r="P23" s="144"/>
      <c r="Q23" s="144"/>
      <c r="R23" s="144"/>
      <c r="S23" s="144"/>
      <c r="T23" s="144"/>
      <c r="U23" s="144"/>
      <c r="V23" s="145"/>
      <c r="W23" s="144"/>
      <c r="X23" s="144"/>
      <c r="Y23" s="144"/>
      <c r="Z23" s="144"/>
      <c r="AA23" s="144"/>
      <c r="AB23" s="144"/>
      <c r="AC23" s="144"/>
      <c r="AD23" s="144"/>
      <c r="AE23" s="144"/>
      <c r="AF23" s="129"/>
      <c r="AG23" s="144"/>
      <c r="AH23" s="144"/>
      <c r="AI23" s="144"/>
      <c r="AJ23" s="144"/>
      <c r="AK23" s="144"/>
      <c r="AL23" s="145"/>
      <c r="AM23" s="144"/>
      <c r="AN23" s="144"/>
      <c r="AO23" s="144"/>
      <c r="AP23" s="144"/>
      <c r="AQ23" s="144"/>
      <c r="AR23" s="144"/>
      <c r="AS23" s="129"/>
      <c r="AT23" s="129"/>
      <c r="AU23" s="129"/>
      <c r="AV23" s="129"/>
      <c r="AW23" s="129"/>
      <c r="AX23" s="129"/>
      <c r="AY23" s="129"/>
      <c r="AZ23" s="129"/>
      <c r="BA23" s="129"/>
      <c r="BB23" s="129"/>
      <c r="BC23" s="129"/>
      <c r="BD23" s="130"/>
    </row>
    <row r="24" spans="1:56" s="133" customFormat="1" ht="30" customHeight="1" x14ac:dyDescent="0.25">
      <c r="A24" s="126"/>
      <c r="B24" s="126"/>
      <c r="C24" s="145" t="s">
        <v>1488</v>
      </c>
      <c r="D24" s="144"/>
      <c r="E24" s="144"/>
      <c r="F24" s="144"/>
      <c r="G24" s="144"/>
      <c r="H24" s="144"/>
      <c r="I24" s="144"/>
      <c r="J24" s="144"/>
      <c r="K24" s="144"/>
      <c r="L24" s="144"/>
      <c r="M24" s="144"/>
      <c r="N24" s="144"/>
      <c r="O24" s="144"/>
      <c r="P24" s="144"/>
      <c r="Q24" s="144"/>
      <c r="R24" s="144"/>
      <c r="S24" s="144"/>
      <c r="T24" s="144"/>
      <c r="U24" s="144"/>
      <c r="V24" s="145" t="s">
        <v>1489</v>
      </c>
      <c r="W24" s="144"/>
      <c r="X24" s="144"/>
      <c r="Y24" s="144"/>
      <c r="Z24" s="144"/>
      <c r="AA24" s="144"/>
      <c r="AB24" s="144"/>
      <c r="AC24" s="144"/>
      <c r="AD24" s="144"/>
      <c r="AE24" s="144"/>
      <c r="AF24" s="129"/>
      <c r="AG24" s="144"/>
      <c r="AH24" s="144"/>
      <c r="AI24" s="144"/>
      <c r="AJ24" s="144"/>
      <c r="AK24" s="144"/>
      <c r="AL24" s="145" t="s">
        <v>1490</v>
      </c>
      <c r="AM24" s="144"/>
      <c r="AN24" s="144"/>
      <c r="AO24" s="144"/>
      <c r="AP24" s="144"/>
      <c r="AQ24" s="144"/>
      <c r="AR24" s="144"/>
      <c r="AS24" s="129"/>
      <c r="AT24" s="129"/>
      <c r="AU24" s="129"/>
      <c r="AV24" s="129"/>
      <c r="AW24" s="129"/>
      <c r="AX24" s="129"/>
      <c r="AY24" s="129"/>
      <c r="AZ24" s="129"/>
      <c r="BA24" s="129"/>
      <c r="BB24" s="129"/>
      <c r="BC24" s="129"/>
      <c r="BD24" s="130"/>
    </row>
    <row r="25" spans="1:56" s="133" customFormat="1" ht="30" customHeight="1" x14ac:dyDescent="0.25">
      <c r="A25" s="126"/>
      <c r="B25" s="126"/>
      <c r="C25" s="145" t="s">
        <v>1491</v>
      </c>
      <c r="D25" s="144"/>
      <c r="E25" s="144"/>
      <c r="F25" s="144"/>
      <c r="G25" s="144"/>
      <c r="H25" s="144"/>
      <c r="I25" s="144"/>
      <c r="J25" s="144"/>
      <c r="K25" s="144"/>
      <c r="L25" s="144"/>
      <c r="M25" s="144"/>
      <c r="N25" s="144"/>
      <c r="O25" s="144"/>
      <c r="P25" s="144"/>
      <c r="Q25" s="144"/>
      <c r="R25" s="144"/>
      <c r="S25" s="144"/>
      <c r="T25" s="144"/>
      <c r="U25" s="144"/>
      <c r="V25" s="145" t="s">
        <v>1492</v>
      </c>
      <c r="W25" s="144"/>
      <c r="X25" s="144"/>
      <c r="Y25" s="144"/>
      <c r="Z25" s="144"/>
      <c r="AA25" s="144"/>
      <c r="AB25" s="144"/>
      <c r="AC25" s="144"/>
      <c r="AD25" s="144"/>
      <c r="AE25" s="144"/>
      <c r="AF25" s="129"/>
      <c r="AG25" s="144"/>
      <c r="AH25" s="144"/>
      <c r="AI25" s="144"/>
      <c r="AJ25" s="144"/>
      <c r="AK25" s="144"/>
      <c r="AL25" s="145" t="s">
        <v>1493</v>
      </c>
      <c r="AM25" s="144"/>
      <c r="AN25" s="144"/>
      <c r="AO25" s="144"/>
      <c r="AP25" s="144"/>
      <c r="AQ25" s="144"/>
      <c r="AR25" s="144"/>
      <c r="AS25" s="129"/>
      <c r="AT25" s="129"/>
      <c r="AU25" s="129"/>
      <c r="AV25" s="129"/>
      <c r="AW25" s="129"/>
      <c r="AX25" s="129"/>
      <c r="AY25" s="129"/>
      <c r="AZ25" s="129"/>
      <c r="BA25" s="129"/>
      <c r="BB25" s="129"/>
      <c r="BC25" s="129"/>
      <c r="BD25" s="130"/>
    </row>
    <row r="26" spans="1:56" s="133" customFormat="1" ht="30" customHeight="1" x14ac:dyDescent="0.25">
      <c r="A26" s="126"/>
      <c r="B26" s="126"/>
      <c r="C26" s="145"/>
      <c r="D26" s="144"/>
      <c r="E26" s="144"/>
      <c r="F26" s="144"/>
      <c r="G26" s="144"/>
      <c r="H26" s="144"/>
      <c r="I26" s="144"/>
      <c r="J26" s="144"/>
      <c r="K26" s="144"/>
      <c r="L26" s="144"/>
      <c r="M26" s="144"/>
      <c r="N26" s="144"/>
      <c r="O26" s="144"/>
      <c r="P26" s="144"/>
      <c r="Q26" s="144"/>
      <c r="R26" s="144"/>
      <c r="S26" s="144"/>
      <c r="T26" s="144"/>
      <c r="U26" s="144"/>
      <c r="V26" s="142"/>
      <c r="W26" s="144"/>
      <c r="X26" s="144"/>
      <c r="Y26" s="144"/>
      <c r="Z26" s="144"/>
      <c r="AA26" s="144"/>
      <c r="AB26" s="144"/>
      <c r="AC26" s="144"/>
      <c r="AD26" s="144"/>
      <c r="AE26" s="144"/>
      <c r="AF26" s="129"/>
      <c r="AG26" s="144"/>
      <c r="AH26" s="144"/>
      <c r="AI26" s="144"/>
      <c r="AJ26" s="144"/>
      <c r="AK26" s="144"/>
      <c r="AL26" s="142"/>
      <c r="AM26" s="144"/>
      <c r="AN26" s="144"/>
      <c r="AO26" s="144"/>
      <c r="AP26" s="144"/>
      <c r="AQ26" s="144"/>
      <c r="AR26" s="144"/>
      <c r="AS26" s="129"/>
      <c r="AT26" s="129"/>
      <c r="AU26" s="129"/>
      <c r="AV26" s="129"/>
      <c r="AW26" s="129"/>
      <c r="AX26" s="129"/>
      <c r="AY26" s="129"/>
      <c r="AZ26" s="129"/>
      <c r="BA26" s="129"/>
      <c r="BB26" s="129"/>
      <c r="BC26" s="129"/>
      <c r="BD26" s="130"/>
    </row>
    <row r="27" spans="1:56" s="133" customFormat="1" ht="30" customHeight="1" x14ac:dyDescent="0.25">
      <c r="A27" s="126"/>
      <c r="B27" s="126"/>
      <c r="C27" s="142" t="s">
        <v>1494</v>
      </c>
      <c r="D27" s="144"/>
      <c r="E27" s="144"/>
      <c r="F27" s="144"/>
      <c r="G27" s="144"/>
      <c r="H27" s="144"/>
      <c r="I27" s="144"/>
      <c r="J27" s="144"/>
      <c r="K27" s="144"/>
      <c r="L27" s="144"/>
      <c r="M27" s="144"/>
      <c r="N27" s="144"/>
      <c r="O27" s="144"/>
      <c r="P27" s="144"/>
      <c r="Q27" s="144"/>
      <c r="R27" s="144"/>
      <c r="S27" s="144"/>
      <c r="T27" s="144"/>
      <c r="U27" s="144"/>
      <c r="V27" s="142" t="s">
        <v>1495</v>
      </c>
      <c r="W27" s="144"/>
      <c r="X27" s="144"/>
      <c r="Y27" s="144"/>
      <c r="Z27" s="144"/>
      <c r="AA27" s="144"/>
      <c r="AB27" s="144"/>
      <c r="AC27" s="144"/>
      <c r="AD27" s="144"/>
      <c r="AE27" s="144"/>
      <c r="AF27" s="129"/>
      <c r="AG27" s="144"/>
      <c r="AH27" s="144"/>
      <c r="AI27" s="144"/>
      <c r="AJ27" s="144"/>
      <c r="AK27" s="144"/>
      <c r="AL27" s="142" t="s">
        <v>1496</v>
      </c>
      <c r="AM27" s="144"/>
      <c r="AN27" s="144"/>
      <c r="AO27" s="144"/>
      <c r="AP27" s="144"/>
      <c r="AQ27" s="144"/>
      <c r="AR27" s="144"/>
      <c r="AS27" s="129"/>
      <c r="AT27" s="129"/>
      <c r="AU27" s="129"/>
      <c r="AV27" s="129"/>
      <c r="AW27" s="129"/>
      <c r="AX27" s="129"/>
      <c r="AY27" s="129"/>
      <c r="AZ27" s="129"/>
      <c r="BA27" s="129"/>
      <c r="BB27" s="129"/>
      <c r="BC27" s="129"/>
      <c r="BD27" s="130">
        <v>1</v>
      </c>
    </row>
    <row r="28" spans="1:56" s="133" customFormat="1" ht="30" customHeight="1" x14ac:dyDescent="0.25">
      <c r="A28" s="126"/>
      <c r="B28" s="126"/>
      <c r="C28" s="142"/>
      <c r="D28" s="144"/>
      <c r="E28" s="144"/>
      <c r="F28" s="144"/>
      <c r="G28" s="144"/>
      <c r="H28" s="144"/>
      <c r="I28" s="144"/>
      <c r="J28" s="144"/>
      <c r="K28" s="144"/>
      <c r="L28" s="144"/>
      <c r="M28" s="144"/>
      <c r="N28" s="144"/>
      <c r="O28" s="144"/>
      <c r="P28" s="144"/>
      <c r="Q28" s="144"/>
      <c r="R28" s="144"/>
      <c r="S28" s="144"/>
      <c r="T28" s="144"/>
      <c r="U28" s="144"/>
      <c r="V28" s="142"/>
      <c r="W28" s="144"/>
      <c r="X28" s="144"/>
      <c r="Y28" s="144"/>
      <c r="Z28" s="144"/>
      <c r="AA28" s="144"/>
      <c r="AB28" s="144"/>
      <c r="AC28" s="144"/>
      <c r="AD28" s="144"/>
      <c r="AE28" s="144"/>
      <c r="AF28" s="129"/>
      <c r="AG28" s="144"/>
      <c r="AH28" s="144"/>
      <c r="AI28" s="144"/>
      <c r="AJ28" s="144"/>
      <c r="AK28" s="144"/>
      <c r="AL28" s="142"/>
      <c r="AM28" s="144"/>
      <c r="AN28" s="144"/>
      <c r="AO28" s="144"/>
      <c r="AP28" s="144"/>
      <c r="AQ28" s="144"/>
      <c r="AR28" s="144"/>
      <c r="AS28" s="129"/>
      <c r="AT28" s="129"/>
      <c r="AU28" s="129"/>
      <c r="AV28" s="129"/>
      <c r="AW28" s="129"/>
      <c r="AX28" s="129"/>
      <c r="AY28" s="129"/>
      <c r="AZ28" s="129"/>
      <c r="BA28" s="129"/>
      <c r="BB28" s="129"/>
      <c r="BC28" s="129"/>
      <c r="BD28" s="130">
        <v>1</v>
      </c>
    </row>
    <row r="29" spans="1:56" s="133" customFormat="1" ht="21" customHeight="1" x14ac:dyDescent="0.25">
      <c r="A29" s="126"/>
      <c r="B29" s="126"/>
      <c r="C29" s="146" t="s">
        <v>1497</v>
      </c>
      <c r="D29" s="147" t="str">
        <f ca="1">CELL("nomfichier")</f>
        <v>D:\Données\1.UPRT\0-UPRT.fait\1-UPRT.FR-SITE-WEB\ff-fiches-fabrications\ff.fiches.fabrication.2023\UPRT.23.aout\[P_Proteines.Vegetales.B.evaluation.xlsx]Mode_emploi</v>
      </c>
      <c r="E29" s="144"/>
      <c r="F29" s="144"/>
      <c r="G29" s="144"/>
      <c r="H29" s="144"/>
      <c r="I29" s="144"/>
      <c r="J29" s="144"/>
      <c r="K29" s="144"/>
      <c r="L29" s="144"/>
      <c r="M29" s="144"/>
      <c r="N29" s="144"/>
      <c r="O29" s="144"/>
      <c r="P29" s="144"/>
      <c r="Q29" s="144"/>
      <c r="R29" s="144"/>
      <c r="S29" s="144"/>
      <c r="T29" s="144"/>
      <c r="U29" s="144"/>
      <c r="V29" s="142"/>
      <c r="W29" s="144"/>
      <c r="X29" s="144"/>
      <c r="Y29" s="144"/>
      <c r="Z29" s="144"/>
      <c r="AA29" s="144"/>
      <c r="AB29" s="144"/>
      <c r="AC29" s="144"/>
      <c r="AD29" s="144"/>
      <c r="AE29" s="144"/>
      <c r="AF29" s="129"/>
      <c r="AG29" s="144"/>
      <c r="AH29" s="144"/>
      <c r="AI29" s="144"/>
      <c r="AJ29" s="144"/>
      <c r="AK29" s="144"/>
      <c r="AL29" s="142"/>
      <c r="AM29" s="144"/>
      <c r="AN29" s="144"/>
      <c r="AO29" s="144"/>
      <c r="AP29" s="144"/>
      <c r="AQ29" s="144"/>
      <c r="AR29" s="144"/>
      <c r="AS29" s="129"/>
      <c r="AT29" s="129"/>
      <c r="AU29" s="129"/>
      <c r="AV29" s="129"/>
      <c r="AW29" s="129"/>
      <c r="AX29" s="129"/>
      <c r="AY29" s="129"/>
      <c r="AZ29" s="129"/>
      <c r="BA29" s="129"/>
      <c r="BB29" s="129"/>
      <c r="BC29" s="129"/>
      <c r="BD29" s="130">
        <v>1</v>
      </c>
    </row>
    <row r="30" spans="1:56" s="133" customFormat="1" ht="21" customHeight="1" x14ac:dyDescent="0.25">
      <c r="A30" s="126"/>
      <c r="B30" s="126"/>
      <c r="C30" s="147"/>
      <c r="D30" s="147"/>
      <c r="E30" s="144"/>
      <c r="F30" s="144"/>
      <c r="G30" s="144"/>
      <c r="H30" s="144"/>
      <c r="I30" s="144"/>
      <c r="J30" s="144"/>
      <c r="K30" s="144"/>
      <c r="L30" s="144"/>
      <c r="M30" s="144"/>
      <c r="N30" s="144"/>
      <c r="O30" s="144"/>
      <c r="P30" s="144"/>
      <c r="Q30" s="144"/>
      <c r="R30" s="144"/>
      <c r="S30" s="144"/>
      <c r="T30" s="144"/>
      <c r="U30" s="144"/>
      <c r="V30" s="145"/>
      <c r="W30" s="144"/>
      <c r="X30" s="144"/>
      <c r="Y30" s="144"/>
      <c r="Z30" s="144"/>
      <c r="AA30" s="144"/>
      <c r="AB30" s="144"/>
      <c r="AC30" s="144"/>
      <c r="AD30" s="144"/>
      <c r="AE30" s="144"/>
      <c r="AF30" s="129"/>
      <c r="AG30" s="144"/>
      <c r="AH30" s="144"/>
      <c r="AI30" s="144"/>
      <c r="AJ30" s="144"/>
      <c r="AK30" s="144"/>
      <c r="AL30" s="145"/>
      <c r="AM30" s="144"/>
      <c r="AN30" s="144"/>
      <c r="AO30" s="144"/>
      <c r="AP30" s="144"/>
      <c r="AQ30" s="144"/>
      <c r="AR30" s="144"/>
      <c r="AS30" s="129"/>
      <c r="AT30" s="129"/>
      <c r="AU30" s="129"/>
      <c r="AV30" s="129"/>
      <c r="AW30" s="129"/>
      <c r="AX30" s="129"/>
      <c r="AY30" s="129"/>
      <c r="AZ30" s="129"/>
      <c r="BA30" s="129"/>
      <c r="BB30" s="129"/>
      <c r="BC30" s="129"/>
      <c r="BD30" s="130">
        <v>1</v>
      </c>
    </row>
    <row r="31" spans="1:56" s="133" customFormat="1" ht="21" customHeight="1" x14ac:dyDescent="0.25">
      <c r="A31" s="126"/>
      <c r="B31" s="126"/>
      <c r="C31" s="148"/>
      <c r="D31" s="147"/>
      <c r="E31" s="144"/>
      <c r="F31" s="144"/>
      <c r="G31" s="144"/>
      <c r="H31" s="144"/>
      <c r="I31" s="149" t="s">
        <v>1498</v>
      </c>
      <c r="J31" s="150" t="s">
        <v>1499</v>
      </c>
      <c r="K31" s="144"/>
      <c r="L31" s="144"/>
      <c r="M31" s="144"/>
      <c r="N31" s="144"/>
      <c r="O31" s="144"/>
      <c r="P31" s="144"/>
      <c r="Q31" s="144"/>
      <c r="R31" s="144"/>
      <c r="S31" s="144"/>
      <c r="T31" s="144"/>
      <c r="U31" s="144"/>
      <c r="V31" s="142"/>
      <c r="W31" s="144"/>
      <c r="X31" s="144"/>
      <c r="Y31" s="144"/>
      <c r="Z31" s="144"/>
      <c r="AA31" s="144"/>
      <c r="AB31" s="144"/>
      <c r="AC31" s="144"/>
      <c r="AD31" s="144"/>
      <c r="AE31" s="144"/>
      <c r="AF31" s="129"/>
      <c r="AG31" s="144"/>
      <c r="AH31" s="144"/>
      <c r="AI31" s="144"/>
      <c r="AJ31" s="144"/>
      <c r="AK31" s="144"/>
      <c r="AL31" s="142"/>
      <c r="AM31" s="144"/>
      <c r="AN31" s="144"/>
      <c r="AO31" s="144"/>
      <c r="AP31" s="144"/>
      <c r="AQ31" s="144"/>
      <c r="AR31" s="144"/>
      <c r="AS31" s="129"/>
      <c r="AT31" s="129"/>
      <c r="AU31" s="129"/>
      <c r="AV31" s="129"/>
      <c r="AW31" s="129"/>
      <c r="AX31" s="129"/>
      <c r="AY31" s="129"/>
      <c r="AZ31" s="129"/>
      <c r="BA31" s="129"/>
      <c r="BB31" s="129"/>
      <c r="BC31" s="129"/>
      <c r="BD31" s="130">
        <v>1</v>
      </c>
    </row>
    <row r="32" spans="1:56" s="133" customFormat="1" ht="21" customHeight="1" x14ac:dyDescent="0.25">
      <c r="A32" s="126"/>
      <c r="B32" s="126"/>
      <c r="C32" s="147"/>
      <c r="D32" s="147"/>
      <c r="E32" s="144"/>
      <c r="F32" s="144"/>
      <c r="G32" s="144"/>
      <c r="H32" s="144"/>
      <c r="I32" s="144"/>
      <c r="J32" s="144"/>
      <c r="K32" s="144"/>
      <c r="L32" s="144"/>
      <c r="M32" s="144"/>
      <c r="N32" s="144"/>
      <c r="O32" s="144"/>
      <c r="P32" s="144"/>
      <c r="Q32" s="144"/>
      <c r="R32" s="144"/>
      <c r="S32" s="144"/>
      <c r="T32" s="144"/>
      <c r="U32" s="144"/>
      <c r="V32" s="142"/>
      <c r="W32" s="144"/>
      <c r="X32" s="144"/>
      <c r="Y32" s="144"/>
      <c r="Z32" s="144"/>
      <c r="AA32" s="144"/>
      <c r="AB32" s="144"/>
      <c r="AC32" s="144"/>
      <c r="AD32" s="144"/>
      <c r="AE32" s="144"/>
      <c r="AF32" s="129"/>
      <c r="AG32" s="144"/>
      <c r="AH32" s="144"/>
      <c r="AI32" s="144"/>
      <c r="AJ32" s="144"/>
      <c r="AK32" s="144"/>
      <c r="AL32" s="142"/>
      <c r="AM32" s="144"/>
      <c r="AN32" s="144"/>
      <c r="AO32" s="144"/>
      <c r="AP32" s="144"/>
      <c r="AQ32" s="144"/>
      <c r="AR32" s="144"/>
      <c r="AS32" s="129"/>
      <c r="AT32" s="129"/>
      <c r="AU32" s="129"/>
      <c r="AV32" s="129"/>
      <c r="AW32" s="129"/>
      <c r="AX32" s="129"/>
      <c r="AY32" s="129"/>
      <c r="AZ32" s="129"/>
      <c r="BA32" s="129"/>
      <c r="BB32" s="129"/>
      <c r="BC32" s="129"/>
      <c r="BD32" s="130">
        <v>1</v>
      </c>
    </row>
    <row r="33" spans="1:58" s="133" customFormat="1" ht="21" customHeight="1" x14ac:dyDescent="0.25">
      <c r="A33" s="126">
        <v>1</v>
      </c>
      <c r="B33" s="126"/>
      <c r="C33" s="142" t="s">
        <v>1500</v>
      </c>
      <c r="D33" s="144"/>
      <c r="E33" s="144"/>
      <c r="F33" s="144"/>
      <c r="G33" s="144"/>
      <c r="H33" s="144"/>
      <c r="I33" s="144"/>
      <c r="J33" s="144"/>
      <c r="K33" s="144"/>
      <c r="L33" s="144"/>
      <c r="M33" s="144"/>
      <c r="N33" s="144"/>
      <c r="O33" s="144"/>
      <c r="P33" s="144"/>
      <c r="Q33" s="144"/>
      <c r="R33" s="144"/>
      <c r="S33" s="144"/>
      <c r="T33" s="144"/>
      <c r="U33" s="144"/>
      <c r="V33" s="142"/>
      <c r="W33" s="144"/>
      <c r="X33" s="144"/>
      <c r="Y33" s="144"/>
      <c r="Z33" s="144"/>
      <c r="AA33" s="144"/>
      <c r="AB33" s="144"/>
      <c r="AC33" s="144"/>
      <c r="AD33" s="144"/>
      <c r="AE33" s="144"/>
      <c r="AF33" s="129"/>
      <c r="AG33" s="144"/>
      <c r="AH33" s="144"/>
      <c r="AI33" s="144"/>
      <c r="AJ33" s="144"/>
      <c r="AK33" s="144"/>
      <c r="AL33" s="142"/>
      <c r="AM33" s="144"/>
      <c r="AN33" s="144"/>
      <c r="AO33" s="144"/>
      <c r="AP33" s="144"/>
      <c r="AQ33" s="144"/>
      <c r="AR33" s="144"/>
      <c r="AS33" s="129"/>
      <c r="AT33" s="129"/>
      <c r="AU33" s="129"/>
      <c r="AV33" s="129"/>
      <c r="AW33" s="129"/>
      <c r="AX33" s="129"/>
      <c r="AY33" s="129"/>
      <c r="AZ33" s="129"/>
      <c r="BA33" s="129"/>
      <c r="BB33" s="129"/>
      <c r="BC33" s="129"/>
      <c r="BD33" s="130">
        <v>1</v>
      </c>
    </row>
    <row r="34" spans="1:58" s="133" customFormat="1" ht="21" customHeight="1" x14ac:dyDescent="0.25">
      <c r="A34" s="126"/>
      <c r="B34" s="126"/>
      <c r="C34" s="142"/>
      <c r="D34" s="142" t="s">
        <v>1501</v>
      </c>
      <c r="E34" s="144"/>
      <c r="F34" s="144"/>
      <c r="G34" s="144"/>
      <c r="H34" s="144"/>
      <c r="I34" s="144"/>
      <c r="J34" s="144"/>
      <c r="K34" s="144"/>
      <c r="L34" s="144"/>
      <c r="M34" s="144"/>
      <c r="N34" s="144"/>
      <c r="O34" s="144"/>
      <c r="P34" s="144"/>
      <c r="Q34" s="144"/>
      <c r="R34" s="144"/>
      <c r="S34" s="144"/>
      <c r="T34" s="144"/>
      <c r="U34" s="144"/>
      <c r="V34" s="142"/>
      <c r="W34" s="144"/>
      <c r="X34" s="144"/>
      <c r="Y34" s="144"/>
      <c r="Z34" s="144"/>
      <c r="AA34" s="144"/>
      <c r="AB34" s="144"/>
      <c r="AC34" s="144"/>
      <c r="AD34" s="144"/>
      <c r="AE34" s="144"/>
      <c r="AF34" s="129"/>
      <c r="AG34" s="144"/>
      <c r="AH34" s="144"/>
      <c r="AI34" s="144"/>
      <c r="AJ34" s="144"/>
      <c r="AK34" s="144"/>
      <c r="AL34" s="142"/>
      <c r="AM34" s="144"/>
      <c r="AN34" s="144"/>
      <c r="AO34" s="144"/>
      <c r="AP34" s="144"/>
      <c r="AQ34" s="144"/>
      <c r="AR34" s="144"/>
      <c r="AS34" s="129"/>
      <c r="AT34" s="129"/>
      <c r="AU34" s="129"/>
      <c r="AV34" s="129"/>
      <c r="AW34" s="129"/>
      <c r="AX34" s="129"/>
      <c r="AY34" s="129"/>
      <c r="AZ34" s="129"/>
      <c r="BA34" s="129"/>
      <c r="BB34" s="129"/>
      <c r="BC34" s="129"/>
      <c r="BD34" s="130">
        <v>1</v>
      </c>
    </row>
    <row r="35" spans="1:58" ht="21" customHeight="1" x14ac:dyDescent="0.35">
      <c r="A35" s="126">
        <v>1</v>
      </c>
      <c r="B35" s="126">
        <v>1</v>
      </c>
      <c r="C35" s="151" t="s">
        <v>1502</v>
      </c>
      <c r="D35" s="126"/>
      <c r="E35" s="126"/>
      <c r="F35" s="126"/>
      <c r="G35" s="126"/>
      <c r="H35" s="126"/>
      <c r="I35" s="126"/>
      <c r="J35" s="126"/>
      <c r="K35" s="126"/>
      <c r="L35" s="126"/>
      <c r="M35" s="126"/>
      <c r="N35" s="126"/>
      <c r="O35" s="126"/>
      <c r="P35" s="126"/>
      <c r="Q35" s="126"/>
      <c r="R35" s="126">
        <v>1</v>
      </c>
      <c r="S35" s="126">
        <v>1</v>
      </c>
      <c r="T35" s="126"/>
      <c r="U35" s="126"/>
      <c r="V35" s="729"/>
      <c r="W35" s="729"/>
      <c r="X35" s="729"/>
      <c r="Y35" s="729"/>
      <c r="Z35" s="144"/>
      <c r="AA35" s="144"/>
      <c r="AB35" s="144"/>
      <c r="AC35" s="144"/>
      <c r="AD35" s="144"/>
      <c r="AE35" s="144"/>
      <c r="AF35" s="129"/>
      <c r="AG35" s="144"/>
      <c r="AH35" s="144"/>
      <c r="AI35" s="144"/>
      <c r="AJ35" s="144"/>
      <c r="AK35" s="144"/>
      <c r="AL35" s="729"/>
      <c r="AM35" s="729"/>
      <c r="AN35" s="729"/>
      <c r="AO35" s="729"/>
      <c r="AP35" s="144"/>
      <c r="AQ35" s="144"/>
      <c r="AR35" s="144"/>
      <c r="AS35" s="152"/>
      <c r="AT35" s="152"/>
      <c r="AU35" s="152"/>
      <c r="AV35" s="152"/>
      <c r="AW35" s="152"/>
      <c r="AX35" s="152"/>
      <c r="AY35" s="152"/>
      <c r="AZ35" s="152"/>
      <c r="BA35" s="152"/>
      <c r="BB35" s="152"/>
      <c r="BC35" s="152"/>
      <c r="BD35" s="130">
        <v>1</v>
      </c>
      <c r="BE35" s="133"/>
      <c r="BF35" s="133"/>
    </row>
    <row r="36" spans="1:58" ht="21" customHeight="1" x14ac:dyDescent="0.35">
      <c r="A36" s="126"/>
      <c r="B36" s="126"/>
      <c r="C36" s="151" t="s">
        <v>1503</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30">
        <v>1</v>
      </c>
      <c r="BE36" s="133"/>
      <c r="BF36" s="133"/>
    </row>
    <row r="37" spans="1:58" ht="21" customHeight="1" x14ac:dyDescent="0.35">
      <c r="A37" s="126"/>
      <c r="B37" s="126"/>
      <c r="C37" s="151" t="s">
        <v>1504</v>
      </c>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30">
        <v>1</v>
      </c>
      <c r="BE37" s="133"/>
      <c r="BF37" s="133"/>
    </row>
    <row r="38" spans="1:58" ht="21" customHeight="1" x14ac:dyDescent="0.25">
      <c r="A38" s="126"/>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30">
        <v>1</v>
      </c>
      <c r="BE38" s="133"/>
      <c r="BF38" s="133"/>
    </row>
    <row r="39" spans="1:58" ht="21" customHeight="1" x14ac:dyDescent="0.25">
      <c r="B39" s="154" t="s">
        <v>1505</v>
      </c>
      <c r="C39" s="155" t="s">
        <v>1506</v>
      </c>
      <c r="F39" s="155"/>
      <c r="G39" s="155"/>
      <c r="H39" s="155"/>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30">
        <v>1</v>
      </c>
      <c r="BE39" s="133"/>
      <c r="BF39" s="133"/>
    </row>
    <row r="40" spans="1:58" ht="21" customHeight="1" thickBot="1" x14ac:dyDescent="0.3">
      <c r="B40" s="126">
        <v>1</v>
      </c>
      <c r="C40" s="126">
        <v>1</v>
      </c>
      <c r="D40" s="126">
        <v>1</v>
      </c>
      <c r="E40" s="126">
        <v>1</v>
      </c>
      <c r="F40" s="126">
        <v>1</v>
      </c>
      <c r="G40" s="126">
        <v>1</v>
      </c>
      <c r="H40" s="126">
        <v>1</v>
      </c>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30">
        <v>1</v>
      </c>
      <c r="BE40" s="133"/>
      <c r="BF40" s="133"/>
    </row>
    <row r="41" spans="1:58" ht="21" customHeight="1" x14ac:dyDescent="0.25">
      <c r="B41" s="730" t="s">
        <v>1505</v>
      </c>
      <c r="C41" s="732" t="s">
        <v>1507</v>
      </c>
      <c r="D41" s="732"/>
      <c r="E41" s="732"/>
      <c r="F41" s="732"/>
      <c r="G41" s="732"/>
      <c r="H41" s="733"/>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30">
        <v>1</v>
      </c>
      <c r="BE41" s="133"/>
      <c r="BF41" s="133"/>
    </row>
    <row r="42" spans="1:58" ht="21" customHeight="1" x14ac:dyDescent="0.25">
      <c r="B42" s="731"/>
      <c r="D42" s="152"/>
      <c r="E42" s="152"/>
      <c r="F42" s="152"/>
      <c r="G42" s="152"/>
      <c r="H42" s="157"/>
      <c r="I42" s="126"/>
      <c r="J42" s="126"/>
      <c r="K42" s="126"/>
      <c r="L42" s="126"/>
      <c r="M42" s="126"/>
      <c r="N42" s="158" t="s">
        <v>1508</v>
      </c>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30">
        <v>1</v>
      </c>
      <c r="BE42" s="133"/>
      <c r="BF42" s="133"/>
    </row>
    <row r="43" spans="1:58" ht="21" customHeight="1" x14ac:dyDescent="0.25">
      <c r="B43" s="734" t="str">
        <f>C41</f>
        <v>Quelques liens hypertexte internes exemple de formules</v>
      </c>
      <c r="C43" s="159" t="str">
        <f>ADDRESS(ROW(),COLUMN(),4)</f>
        <v>C43</v>
      </c>
      <c r="D43" s="160" t="str">
        <f>_xlfn.UNICHAR(128269)</f>
        <v>🔍</v>
      </c>
      <c r="E43" s="152" t="str">
        <f ca="1">_xlfn.FORMULATEXT(D43)</f>
        <v>=UNICAR(128269)</v>
      </c>
      <c r="F43" s="152"/>
      <c r="G43" s="152"/>
      <c r="H43" s="157"/>
      <c r="I43" s="126"/>
      <c r="J43" s="126">
        <v>1</v>
      </c>
      <c r="K43" s="126"/>
      <c r="L43" s="126"/>
      <c r="M43" s="126"/>
      <c r="N43" s="158" t="s">
        <v>1509</v>
      </c>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30">
        <v>1</v>
      </c>
      <c r="BE43" s="133"/>
      <c r="BF43" s="133"/>
    </row>
    <row r="44" spans="1:58" ht="21" customHeight="1" x14ac:dyDescent="0.25">
      <c r="B44" s="734"/>
      <c r="C44" s="152" t="s">
        <v>1510</v>
      </c>
      <c r="D44" s="160"/>
      <c r="E44" s="152"/>
      <c r="F44" s="152"/>
      <c r="G44" s="152"/>
      <c r="H44" s="157"/>
      <c r="I44" s="126"/>
      <c r="J44" s="126">
        <v>1</v>
      </c>
      <c r="K44" s="126"/>
      <c r="L44" s="126"/>
      <c r="M44" s="126"/>
      <c r="N44" s="158" t="s">
        <v>1511</v>
      </c>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30">
        <v>1</v>
      </c>
      <c r="BE44" s="133"/>
      <c r="BF44" s="133"/>
    </row>
    <row r="45" spans="1:58" ht="21" customHeight="1" x14ac:dyDescent="0.25">
      <c r="B45" s="734"/>
      <c r="C45" s="152" t="s">
        <v>1512</v>
      </c>
      <c r="D45" s="160"/>
      <c r="E45" s="152"/>
      <c r="F45" s="152"/>
      <c r="G45" s="152"/>
      <c r="H45" s="157"/>
      <c r="I45" s="126"/>
      <c r="J45" s="126">
        <v>1</v>
      </c>
      <c r="K45" s="126"/>
      <c r="L45" s="126"/>
      <c r="M45" s="126"/>
      <c r="N45" s="161" t="s">
        <v>1513</v>
      </c>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30">
        <v>1</v>
      </c>
      <c r="BE45" s="133"/>
      <c r="BF45" s="133"/>
    </row>
    <row r="46" spans="1:58" ht="21" customHeight="1" x14ac:dyDescent="0.25">
      <c r="B46" s="734"/>
      <c r="C46" s="162" t="s">
        <v>1514</v>
      </c>
      <c r="D46" s="160"/>
      <c r="E46" s="152"/>
      <c r="F46" s="152"/>
      <c r="G46" s="152"/>
      <c r="H46" s="157"/>
      <c r="I46" s="126"/>
      <c r="J46" s="126">
        <v>1</v>
      </c>
      <c r="K46" s="126"/>
      <c r="L46" s="126"/>
      <c r="M46" s="126"/>
      <c r="N46" s="158" t="s">
        <v>1515</v>
      </c>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30">
        <v>1</v>
      </c>
      <c r="BE46" s="133"/>
      <c r="BF46" s="133"/>
    </row>
    <row r="47" spans="1:58" ht="21" customHeight="1" x14ac:dyDescent="0.25">
      <c r="B47" s="734"/>
      <c r="C47" s="162"/>
      <c r="D47" s="160"/>
      <c r="E47" s="152"/>
      <c r="F47" s="152"/>
      <c r="G47" s="152"/>
      <c r="H47" s="157"/>
      <c r="I47" s="126"/>
      <c r="J47" s="126">
        <v>1</v>
      </c>
      <c r="K47" s="126"/>
      <c r="L47" s="126"/>
      <c r="M47" s="126"/>
      <c r="N47" s="158" t="s">
        <v>1516</v>
      </c>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30">
        <v>1</v>
      </c>
      <c r="BE47" s="133"/>
      <c r="BF47" s="133"/>
    </row>
    <row r="48" spans="1:58" ht="21" customHeight="1" x14ac:dyDescent="0.25">
      <c r="B48" s="734"/>
      <c r="C48" s="736" t="s">
        <v>1517</v>
      </c>
      <c r="D48" s="736"/>
      <c r="E48" s="736"/>
      <c r="F48" s="736"/>
      <c r="G48" s="736"/>
      <c r="H48" s="737"/>
      <c r="I48" s="126"/>
      <c r="J48" s="126">
        <v>1</v>
      </c>
      <c r="K48" s="126">
        <v>1</v>
      </c>
      <c r="L48" s="126">
        <v>1</v>
      </c>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30">
        <v>1</v>
      </c>
      <c r="BE48" s="133"/>
      <c r="BF48" s="133"/>
    </row>
    <row r="49" spans="2:58" ht="21" customHeight="1" x14ac:dyDescent="0.25">
      <c r="B49" s="734"/>
      <c r="C49" s="736"/>
      <c r="D49" s="736"/>
      <c r="E49" s="736"/>
      <c r="F49" s="736"/>
      <c r="G49" s="736"/>
      <c r="H49" s="737"/>
      <c r="I49" s="126"/>
      <c r="J49" s="126">
        <v>1</v>
      </c>
      <c r="K49" s="126">
        <v>1</v>
      </c>
      <c r="L49" s="126">
        <v>1</v>
      </c>
      <c r="M49" s="126"/>
      <c r="N49" s="163" t="s">
        <v>1518</v>
      </c>
      <c r="O49" s="164"/>
      <c r="P49" s="165" t="s">
        <v>1519</v>
      </c>
      <c r="Q49" s="164"/>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30">
        <v>1</v>
      </c>
      <c r="BE49" s="133"/>
      <c r="BF49" s="133"/>
    </row>
    <row r="50" spans="2:58" ht="21" customHeight="1" x14ac:dyDescent="0.25">
      <c r="B50" s="734"/>
      <c r="C50" s="166" t="s">
        <v>1520</v>
      </c>
      <c r="D50" s="152"/>
      <c r="E50" s="152" t="s">
        <v>1521</v>
      </c>
      <c r="F50" s="152"/>
      <c r="G50" s="152"/>
      <c r="H50" s="157"/>
      <c r="I50" s="126"/>
      <c r="J50" s="126">
        <v>1</v>
      </c>
      <c r="K50" s="126">
        <v>1</v>
      </c>
      <c r="L50" s="126">
        <v>1</v>
      </c>
      <c r="M50" s="126"/>
      <c r="N50" s="167" t="s">
        <v>1522</v>
      </c>
      <c r="O50" s="167" t="s">
        <v>1523</v>
      </c>
      <c r="P50" s="167" t="s">
        <v>1524</v>
      </c>
      <c r="Q50" s="164" t="s">
        <v>1525</v>
      </c>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30">
        <v>1</v>
      </c>
    </row>
    <row r="51" spans="2:58" ht="21" customHeight="1" x14ac:dyDescent="0.25">
      <c r="B51" s="734"/>
      <c r="C51" s="168" t="str">
        <f>HYPERLINK("#"&amp;ADDRESS(ROW(C43),COLUMN(C43),4))</f>
        <v>#C43</v>
      </c>
      <c r="D51" s="169" t="str">
        <f ca="1">_xlfn.FORMULATEXT(C51)</f>
        <v>=LIEN_HYPERTEXTE("#"&amp;ADRESSE(LIGNE(C43);COLONNE(C43);4))</v>
      </c>
      <c r="E51" s="169"/>
      <c r="F51" s="169"/>
      <c r="G51" s="169"/>
      <c r="H51" s="170"/>
      <c r="I51" s="126"/>
      <c r="J51" s="126">
        <v>1</v>
      </c>
      <c r="K51" s="126">
        <v>1</v>
      </c>
      <c r="L51" s="126">
        <v>1</v>
      </c>
      <c r="M51" s="126"/>
      <c r="N51" s="164" t="s">
        <v>1526</v>
      </c>
      <c r="O51" s="164" t="s">
        <v>1527</v>
      </c>
      <c r="P51" s="171" t="str">
        <f>N51 &amp; " " &amp; O51</f>
        <v>Robert Spière</v>
      </c>
      <c r="Q51" s="172" t="str">
        <f ca="1">_xlfn.FORMULATEXT(P51)</f>
        <v>=N51 &amp; " " &amp; O51</v>
      </c>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30">
        <v>1</v>
      </c>
    </row>
    <row r="52" spans="2:58" ht="21" customHeight="1" x14ac:dyDescent="0.25">
      <c r="B52" s="734"/>
      <c r="C52" s="173"/>
      <c r="D52" s="169"/>
      <c r="E52" s="169"/>
      <c r="F52" s="169"/>
      <c r="G52" s="169"/>
      <c r="H52" s="170"/>
      <c r="I52" s="126"/>
      <c r="J52" s="126">
        <v>1</v>
      </c>
      <c r="K52" s="126">
        <v>1</v>
      </c>
      <c r="L52" s="126">
        <v>1</v>
      </c>
      <c r="M52" s="126"/>
      <c r="N52" s="164" t="s">
        <v>1528</v>
      </c>
      <c r="O52" s="164" t="s">
        <v>1529</v>
      </c>
      <c r="P52" s="171" t="str">
        <f>_xlfn.CONCAT(N52," ",O52)</f>
        <v>Guillaume Tell</v>
      </c>
      <c r="Q52" s="172" t="str">
        <f ca="1">_xlfn.FORMULATEXT(P52)</f>
        <v>=CONCAT(N52;" ";O52)</v>
      </c>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30">
        <v>1</v>
      </c>
    </row>
    <row r="53" spans="2:58" ht="21" customHeight="1" x14ac:dyDescent="0.25">
      <c r="B53" s="734"/>
      <c r="C53" s="173"/>
      <c r="D53" s="152"/>
      <c r="E53" s="152"/>
      <c r="F53" s="152"/>
      <c r="G53" s="152"/>
      <c r="H53" s="157"/>
      <c r="I53" s="126"/>
      <c r="J53" s="126">
        <v>1</v>
      </c>
      <c r="K53" s="126">
        <v>1</v>
      </c>
      <c r="L53" s="126">
        <v>1</v>
      </c>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30">
        <v>1</v>
      </c>
    </row>
    <row r="54" spans="2:58" ht="21" customHeight="1" x14ac:dyDescent="0.25">
      <c r="B54" s="734"/>
      <c r="C54" s="174" t="str">
        <f>HYPERLINK("#"&amp;ADDRESS(ROW(C43),COLUMN(C43),4)," 🔗 Lien")</f>
        <v xml:space="preserve"> 🔗 Lien</v>
      </c>
      <c r="D54" s="738" t="str">
        <f ca="1">_xlfn.FORMULATEXT(C54)</f>
        <v>=LIEN_HYPERTEXTE("#"&amp;ADRESSE(LIGNE(C43);COLONNE(C43);4);" 🔗 Lien")</v>
      </c>
      <c r="E54" s="738"/>
      <c r="F54" s="738"/>
      <c r="G54" s="738"/>
      <c r="H54" s="739"/>
      <c r="I54" s="126"/>
      <c r="J54" s="126">
        <v>1</v>
      </c>
      <c r="K54" s="126">
        <v>1</v>
      </c>
      <c r="L54" s="126">
        <v>1</v>
      </c>
      <c r="M54" s="126"/>
      <c r="N54" s="167" t="s">
        <v>1530</v>
      </c>
      <c r="O54" s="163" t="s">
        <v>1531</v>
      </c>
      <c r="P54" s="175"/>
      <c r="Q54" s="164" t="s">
        <v>1525</v>
      </c>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30">
        <v>1</v>
      </c>
    </row>
    <row r="55" spans="2:58" ht="21" customHeight="1" x14ac:dyDescent="0.25">
      <c r="B55" s="734"/>
      <c r="C55" s="173"/>
      <c r="D55" s="738"/>
      <c r="E55" s="738"/>
      <c r="F55" s="738"/>
      <c r="G55" s="738"/>
      <c r="H55" s="739"/>
      <c r="I55" s="126"/>
      <c r="J55" s="126">
        <v>1</v>
      </c>
      <c r="K55" s="126">
        <v>1</v>
      </c>
      <c r="L55" s="126">
        <v>1</v>
      </c>
      <c r="M55" s="126"/>
      <c r="N55" s="164" t="s">
        <v>1532</v>
      </c>
      <c r="O55" s="176" t="str">
        <f>LEFT(N55,SEARCH(" ",N55)-1)</f>
        <v>Guillaume</v>
      </c>
      <c r="P55" s="172" t="s">
        <v>1533</v>
      </c>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30">
        <v>1</v>
      </c>
    </row>
    <row r="56" spans="2:58" ht="21" customHeight="1" x14ac:dyDescent="0.25">
      <c r="B56" s="734"/>
      <c r="C56" s="173"/>
      <c r="D56" s="177"/>
      <c r="E56" s="177"/>
      <c r="F56" s="177"/>
      <c r="G56" s="177"/>
      <c r="H56" s="178"/>
      <c r="I56" s="126"/>
      <c r="J56" s="126">
        <v>1</v>
      </c>
      <c r="K56" s="126">
        <v>1</v>
      </c>
      <c r="L56" s="126">
        <v>1</v>
      </c>
      <c r="M56" s="126"/>
      <c r="N56" s="164" t="s">
        <v>1532</v>
      </c>
      <c r="O56" s="176" t="str">
        <f>RIGHT(N56,LEN(N56)-SEARCH(" ",N56))</f>
        <v>Tell</v>
      </c>
      <c r="P56" s="172" t="str">
        <f ca="1">_xlfn.FORMULATEXT(O56)</f>
        <v>=DROITE(N56;NBCAR(N56)-CHERCHE(" ";N56))</v>
      </c>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30">
        <v>1</v>
      </c>
    </row>
    <row r="57" spans="2:58" ht="21" customHeight="1" x14ac:dyDescent="0.25">
      <c r="B57" s="734"/>
      <c r="C57" s="174" t="str">
        <f>HYPERLINK("#"&amp;ADDRESS(ROW(C43),COLUMN(C43),4)," 🔗 ICI")</f>
        <v xml:space="preserve"> 🔗 ICI</v>
      </c>
      <c r="D57" s="740" t="str">
        <f ca="1">_xlfn.FORMULATEXT(C57)</f>
        <v>=LIEN_HYPERTEXTE("#"&amp;ADRESSE(LIGNE(C43);COLONNE(C43);4);" 🔗 ICI")</v>
      </c>
      <c r="E57" s="740"/>
      <c r="F57" s="740"/>
      <c r="G57" s="740"/>
      <c r="H57" s="741"/>
      <c r="I57" s="126"/>
      <c r="J57" s="126">
        <v>1</v>
      </c>
      <c r="K57" s="126">
        <v>1</v>
      </c>
      <c r="L57" s="126">
        <v>1</v>
      </c>
      <c r="M57" s="126"/>
      <c r="N57" s="179" t="s">
        <v>1534</v>
      </c>
      <c r="O57" s="180" t="str">
        <f>LEFT(N57,SEARCH(",",N57)-1)</f>
        <v>Guillaume</v>
      </c>
      <c r="P57" s="172" t="str">
        <f ca="1">_xlfn.FORMULATEXT(O57)</f>
        <v>=GAUCHE(N57;CHERCHE(",";N57)-1)</v>
      </c>
      <c r="Q57" s="172"/>
      <c r="R57" s="164"/>
      <c r="S57" s="164"/>
      <c r="T57" s="164"/>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30">
        <v>1</v>
      </c>
    </row>
    <row r="58" spans="2:58" ht="21" customHeight="1" x14ac:dyDescent="0.25">
      <c r="B58" s="734"/>
      <c r="C58" s="173"/>
      <c r="D58" s="740"/>
      <c r="E58" s="740"/>
      <c r="F58" s="740"/>
      <c r="G58" s="740"/>
      <c r="H58" s="741"/>
      <c r="I58" s="126"/>
      <c r="J58" s="126">
        <v>1</v>
      </c>
      <c r="K58" s="126">
        <v>1</v>
      </c>
      <c r="L58" s="126">
        <v>1</v>
      </c>
      <c r="M58" s="126"/>
      <c r="N58" s="126">
        <v>1</v>
      </c>
      <c r="O58" s="180" t="str">
        <f>RIGHT(N57,LEN(N57)-SEARCH(",",N57))</f>
        <v>Tell</v>
      </c>
      <c r="P58" s="172" t="str">
        <f ca="1">_xlfn.FORMULATEXT(O58)</f>
        <v>=DROITE(N57;NBCAR(N57)-CHERCHE(",";N57))</v>
      </c>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30">
        <v>1</v>
      </c>
    </row>
    <row r="59" spans="2:58" ht="21" customHeight="1" x14ac:dyDescent="0.25">
      <c r="B59" s="734"/>
      <c r="C59" s="173"/>
      <c r="D59" s="172"/>
      <c r="E59" s="172"/>
      <c r="F59" s="172"/>
      <c r="G59" s="172"/>
      <c r="H59" s="181"/>
      <c r="I59" s="126"/>
      <c r="J59" s="126"/>
      <c r="K59" s="126"/>
      <c r="L59" s="126"/>
      <c r="M59" s="126"/>
      <c r="N59" s="126">
        <v>1</v>
      </c>
      <c r="O59" s="164" t="s">
        <v>1535</v>
      </c>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30">
        <v>1</v>
      </c>
    </row>
    <row r="60" spans="2:58" ht="21" customHeight="1" x14ac:dyDescent="0.25">
      <c r="B60" s="734"/>
      <c r="C60" s="182" t="str">
        <f>HYPERLINK("#"&amp;ADDRESS(ROW(C43),COLUMN(C43),4)," 🔗 "&amp;ADDRESS(ROW(C43),COLUMN(C43),4))</f>
        <v xml:space="preserve"> 🔗 C43</v>
      </c>
      <c r="D60" s="740" t="str">
        <f ca="1">_xlfn.FORMULATEXT(C60)</f>
        <v>=LIEN_HYPERTEXTE("#"&amp;ADRESSE(LIGNE(C43);COLONNE(C43);4);" 🔗 "&amp;ADRESSE(LIGNE(C43);COLONNE(C43);4))</v>
      </c>
      <c r="E60" s="740"/>
      <c r="F60" s="740"/>
      <c r="G60" s="740"/>
      <c r="H60" s="741"/>
      <c r="I60" s="126"/>
      <c r="J60" s="126"/>
      <c r="K60" s="126"/>
      <c r="L60" s="126"/>
      <c r="M60" s="126"/>
      <c r="O60" s="126"/>
      <c r="P60" s="183"/>
      <c r="Q60" s="184" t="s">
        <v>1536</v>
      </c>
      <c r="R60" s="185" t="s">
        <v>1537</v>
      </c>
      <c r="S60" s="183"/>
      <c r="T60" s="183"/>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30">
        <v>1</v>
      </c>
    </row>
    <row r="61" spans="2:58" ht="21" customHeight="1" x14ac:dyDescent="0.25">
      <c r="B61" s="734"/>
      <c r="C61" s="173"/>
      <c r="D61" s="740"/>
      <c r="E61" s="740"/>
      <c r="F61" s="740"/>
      <c r="G61" s="740"/>
      <c r="H61" s="741"/>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30">
        <v>1</v>
      </c>
    </row>
    <row r="62" spans="2:58" ht="21" customHeight="1" thickBot="1" x14ac:dyDescent="0.3">
      <c r="B62" s="734"/>
      <c r="C62" s="173"/>
      <c r="D62" s="152"/>
      <c r="E62" s="152"/>
      <c r="F62" s="152"/>
      <c r="G62" s="152"/>
      <c r="H62" s="157"/>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30">
        <v>1</v>
      </c>
    </row>
    <row r="63" spans="2:58" ht="21" customHeight="1" x14ac:dyDescent="0.25">
      <c r="B63" s="734"/>
      <c r="C63" s="182" t="str">
        <f>HYPERLINK("#"&amp;ADDRESS(ROW(C43),COLUMN(C43),4),"◀"&amp;ADDRESS(ROW(C43),COLUMN(C43),4))</f>
        <v>◀C43</v>
      </c>
      <c r="D63" s="742" t="str">
        <f ca="1">_xlfn.FORMULATEXT(C63)</f>
        <v>=LIEN_HYPERTEXTE("#"&amp;ADRESSE(LIGNE(C43);COLONNE(C43);4);"◀"&amp;ADRESSE(LIGNE(C43);COLONNE(C43);4))</v>
      </c>
      <c r="E63" s="742"/>
      <c r="F63" s="742"/>
      <c r="G63" s="742"/>
      <c r="H63" s="743"/>
      <c r="I63" s="126"/>
      <c r="J63" s="186" t="s">
        <v>1538</v>
      </c>
      <c r="K63" s="187"/>
      <c r="L63" s="187"/>
      <c r="M63" s="187"/>
      <c r="N63" s="187"/>
      <c r="O63" s="187"/>
      <c r="P63" s="188"/>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30">
        <v>1</v>
      </c>
    </row>
    <row r="64" spans="2:58" ht="21" customHeight="1" x14ac:dyDescent="0.25">
      <c r="B64" s="734"/>
      <c r="C64" s="173"/>
      <c r="D64" s="742"/>
      <c r="E64" s="742"/>
      <c r="F64" s="742"/>
      <c r="G64" s="742"/>
      <c r="H64" s="743"/>
      <c r="I64" s="126"/>
      <c r="J64" s="189" t="s">
        <v>1539</v>
      </c>
      <c r="K64" s="190"/>
      <c r="L64" s="190"/>
      <c r="M64" s="190"/>
      <c r="N64" s="190"/>
      <c r="O64" s="190"/>
      <c r="P64" s="191"/>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30">
        <v>1</v>
      </c>
    </row>
    <row r="65" spans="2:56" ht="21" customHeight="1" x14ac:dyDescent="0.25">
      <c r="B65" s="734"/>
      <c r="C65" s="173"/>
      <c r="D65" s="177"/>
      <c r="E65" s="177"/>
      <c r="F65" s="177"/>
      <c r="G65" s="177"/>
      <c r="H65" s="178"/>
      <c r="I65" s="126"/>
      <c r="J65" s="189" t="s">
        <v>1540</v>
      </c>
      <c r="K65" s="190"/>
      <c r="L65" s="190"/>
      <c r="M65" s="190"/>
      <c r="N65" s="190"/>
      <c r="O65" s="190"/>
      <c r="P65" s="191"/>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30">
        <v>1</v>
      </c>
    </row>
    <row r="66" spans="2:56" ht="21" customHeight="1" x14ac:dyDescent="0.25">
      <c r="B66" s="734"/>
      <c r="C66" s="182" t="str">
        <f>HYPERLINK("#"&amp;ADDRESS(ROW(C43),COLUMN(C43),4),_xlfn.UNICHAR(128269)&amp;ADDRESS(ROW(C43),COLUMN(C43),4))</f>
        <v>🔍C43</v>
      </c>
      <c r="D66" s="745" t="str">
        <f ca="1">_xlfn.FORMULATEXT(C66)</f>
        <v>=LIEN_HYPERTEXTE("#"&amp;ADRESSE(LIGNE(C43);COLONNE(C43);4);UNICAR(128269)&amp;ADRESSE(LIGNE(C43);COLONNE(C43);4))</v>
      </c>
      <c r="E66" s="745"/>
      <c r="F66" s="745"/>
      <c r="G66" s="745"/>
      <c r="H66" s="746"/>
      <c r="I66" s="126"/>
      <c r="J66" s="189" t="s">
        <v>1541</v>
      </c>
      <c r="K66" s="190"/>
      <c r="L66" s="190"/>
      <c r="M66" s="190"/>
      <c r="N66" s="190"/>
      <c r="O66" s="190"/>
      <c r="P66" s="191"/>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30">
        <v>1</v>
      </c>
    </row>
    <row r="67" spans="2:56" ht="21" customHeight="1" x14ac:dyDescent="0.25">
      <c r="B67" s="734"/>
      <c r="C67" s="173"/>
      <c r="D67" s="745"/>
      <c r="E67" s="745"/>
      <c r="F67" s="745"/>
      <c r="G67" s="745"/>
      <c r="H67" s="746"/>
      <c r="I67" s="126"/>
      <c r="J67" s="194" t="s">
        <v>1542</v>
      </c>
      <c r="K67" s="195"/>
      <c r="L67" s="195"/>
      <c r="M67" s="195"/>
      <c r="N67" s="195"/>
      <c r="O67" s="195"/>
      <c r="P67" s="19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30">
        <v>1</v>
      </c>
    </row>
    <row r="68" spans="2:56" ht="21" customHeight="1" x14ac:dyDescent="0.25">
      <c r="B68" s="734"/>
      <c r="C68" s="173"/>
      <c r="D68" s="192"/>
      <c r="E68" s="192"/>
      <c r="F68" s="192"/>
      <c r="G68" s="192"/>
      <c r="H68" s="193"/>
      <c r="I68" s="126"/>
      <c r="J68" s="197">
        <v>14</v>
      </c>
      <c r="K68" s="198">
        <v>14</v>
      </c>
      <c r="L68" s="198">
        <v>14</v>
      </c>
      <c r="M68" s="198">
        <v>14</v>
      </c>
      <c r="N68" s="198">
        <v>14</v>
      </c>
      <c r="O68" s="198">
        <v>14</v>
      </c>
      <c r="P68" s="199">
        <v>14</v>
      </c>
      <c r="Q68" s="200" t="s">
        <v>1543</v>
      </c>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30">
        <v>1</v>
      </c>
    </row>
    <row r="69" spans="2:56" ht="21" customHeight="1" thickBot="1" x14ac:dyDescent="0.3">
      <c r="B69" s="734"/>
      <c r="C69" s="201"/>
      <c r="D69" s="202" t="s">
        <v>1544</v>
      </c>
      <c r="E69" s="192" t="str">
        <f>C43</f>
        <v>C43</v>
      </c>
      <c r="F69" s="203" t="s">
        <v>1545</v>
      </c>
      <c r="G69" s="192"/>
      <c r="H69" s="193"/>
      <c r="I69" s="126"/>
      <c r="J69" s="204">
        <f t="shared" ref="J69:O69" ca="1" si="6">CELL("largeur",J69)</f>
        <v>16</v>
      </c>
      <c r="K69" s="205">
        <f t="shared" ca="1" si="6"/>
        <v>14</v>
      </c>
      <c r="L69" s="205">
        <f t="shared" ca="1" si="6"/>
        <v>14</v>
      </c>
      <c r="M69" s="205">
        <f t="shared" ca="1" si="6"/>
        <v>15</v>
      </c>
      <c r="N69" s="205">
        <f t="shared" ca="1" si="6"/>
        <v>14</v>
      </c>
      <c r="O69" s="205">
        <f t="shared" ca="1" si="6"/>
        <v>14</v>
      </c>
      <c r="P69" s="206">
        <f ca="1">CELL("largeur",P69)</f>
        <v>14</v>
      </c>
      <c r="Q69" s="200" t="s">
        <v>1546</v>
      </c>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30">
        <v>1</v>
      </c>
    </row>
    <row r="70" spans="2:56" ht="21" customHeight="1" x14ac:dyDescent="0.25">
      <c r="B70" s="734"/>
      <c r="C70" s="747" t="s">
        <v>1547</v>
      </c>
      <c r="D70" s="747"/>
      <c r="E70" s="747"/>
      <c r="F70" s="747"/>
      <c r="G70" s="747"/>
      <c r="H70" s="748"/>
      <c r="I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30">
        <v>1</v>
      </c>
    </row>
    <row r="71" spans="2:56" ht="21" customHeight="1" x14ac:dyDescent="0.25">
      <c r="B71" s="734"/>
      <c r="C71" s="747"/>
      <c r="D71" s="747"/>
      <c r="E71" s="747"/>
      <c r="F71" s="747"/>
      <c r="G71" s="747"/>
      <c r="H71" s="748"/>
      <c r="I71" s="126"/>
      <c r="J71" s="207" t="s">
        <v>1548</v>
      </c>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30">
        <v>1</v>
      </c>
    </row>
    <row r="72" spans="2:56" ht="21" customHeight="1" x14ac:dyDescent="0.25">
      <c r="B72" s="734"/>
      <c r="C72" s="173"/>
      <c r="D72" s="208"/>
      <c r="E72" s="208"/>
      <c r="F72" s="208"/>
      <c r="G72" s="208"/>
      <c r="H72" s="209"/>
      <c r="I72" s="126"/>
      <c r="J72" s="210" t="s">
        <v>1549</v>
      </c>
      <c r="K72" s="126"/>
      <c r="L72" s="126"/>
      <c r="M72" s="126"/>
      <c r="O72" s="211"/>
      <c r="P72" s="212" t="s">
        <v>1550</v>
      </c>
      <c r="Q72" s="185" t="s">
        <v>1551</v>
      </c>
      <c r="R72" s="211"/>
      <c r="S72" s="211"/>
      <c r="T72" s="211"/>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30">
        <v>1</v>
      </c>
    </row>
    <row r="73" spans="2:56" ht="21" customHeight="1" thickBot="1" x14ac:dyDescent="0.3">
      <c r="B73" s="734"/>
      <c r="C73" s="213" t="s">
        <v>1552</v>
      </c>
      <c r="D73" s="208"/>
      <c r="E73" s="208"/>
      <c r="F73" s="208"/>
      <c r="G73" s="208"/>
      <c r="H73" s="209"/>
      <c r="I73" s="126"/>
      <c r="J73" s="214" t="s">
        <v>1553</v>
      </c>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30">
        <v>1</v>
      </c>
    </row>
    <row r="74" spans="2:56" ht="21" customHeight="1" x14ac:dyDescent="0.25">
      <c r="B74" s="734"/>
      <c r="C74" s="215" t="s">
        <v>1554</v>
      </c>
      <c r="D74" s="208"/>
      <c r="E74" s="208"/>
      <c r="F74" s="208"/>
      <c r="G74" s="208"/>
      <c r="H74" s="209"/>
      <c r="I74" s="126"/>
      <c r="J74" s="216" t="s">
        <v>1555</v>
      </c>
      <c r="K74" s="126"/>
      <c r="L74" s="126"/>
      <c r="M74" s="126"/>
      <c r="N74" s="217" t="s">
        <v>1505</v>
      </c>
      <c r="O74" s="749" t="s">
        <v>1556</v>
      </c>
      <c r="P74" s="749"/>
      <c r="Q74" s="749"/>
      <c r="R74" s="749"/>
      <c r="S74" s="750"/>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30">
        <v>1</v>
      </c>
    </row>
    <row r="75" spans="2:56" ht="21" customHeight="1" x14ac:dyDescent="0.25">
      <c r="B75" s="734"/>
      <c r="C75" s="751" t="s">
        <v>1557</v>
      </c>
      <c r="D75" s="751"/>
      <c r="E75" s="751"/>
      <c r="F75" s="751"/>
      <c r="G75" s="751"/>
      <c r="H75" s="752"/>
      <c r="I75" s="126"/>
      <c r="J75" s="218" t="s">
        <v>1558</v>
      </c>
      <c r="K75" s="126"/>
      <c r="L75" s="126"/>
      <c r="M75" s="126"/>
      <c r="N75" s="753">
        <v>3</v>
      </c>
      <c r="O75" s="133"/>
      <c r="P75" s="219" t="s">
        <v>1559</v>
      </c>
      <c r="Q75" s="220" t="s">
        <v>1560</v>
      </c>
      <c r="R75" s="221"/>
      <c r="S75" s="222"/>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30">
        <v>1</v>
      </c>
    </row>
    <row r="76" spans="2:56" ht="21" customHeight="1" x14ac:dyDescent="0.25">
      <c r="B76" s="734"/>
      <c r="C76" s="751"/>
      <c r="D76" s="751"/>
      <c r="E76" s="751"/>
      <c r="F76" s="751"/>
      <c r="G76" s="751"/>
      <c r="H76" s="752"/>
      <c r="I76" s="126"/>
      <c r="J76" s="223" t="s">
        <v>1561</v>
      </c>
      <c r="K76" s="126"/>
      <c r="L76" s="126"/>
      <c r="M76" s="126"/>
      <c r="N76" s="753"/>
      <c r="O76" s="224"/>
      <c r="P76" s="224"/>
      <c r="Q76" s="224"/>
      <c r="R76" s="224"/>
      <c r="S76" s="225"/>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30">
        <v>1</v>
      </c>
    </row>
    <row r="77" spans="2:56" ht="21" customHeight="1" x14ac:dyDescent="0.25">
      <c r="B77" s="734"/>
      <c r="C77" s="215"/>
      <c r="D77" s="208"/>
      <c r="E77" s="208"/>
      <c r="F77" s="208"/>
      <c r="G77" s="208"/>
      <c r="H77" s="209"/>
      <c r="I77" s="126"/>
      <c r="J77" s="226" t="s">
        <v>1562</v>
      </c>
      <c r="K77" s="126"/>
      <c r="L77" s="126"/>
      <c r="M77" s="126"/>
      <c r="N77" s="753"/>
      <c r="O77" s="129"/>
      <c r="P77" s="129"/>
      <c r="Q77" s="227" t="s">
        <v>1563</v>
      </c>
      <c r="R77" s="228">
        <v>6</v>
      </c>
      <c r="S77" s="229"/>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30">
        <v>1</v>
      </c>
    </row>
    <row r="78" spans="2:56" ht="21" customHeight="1" x14ac:dyDescent="0.25">
      <c r="B78" s="734"/>
      <c r="C78" s="230" t="str">
        <f>HYPERLINK("# c131",_xlfn.UNICHAR(128269)&amp;" 🔗 Lien")</f>
        <v>🔍 🔗 Lien</v>
      </c>
      <c r="D78" s="231" t="str">
        <f ca="1">_xlfn.FORMULATEXT(C78)</f>
        <v>=LIEN_HYPERTEXTE("# c131";UNICAR(128269)&amp;" 🔗 Lien")</v>
      </c>
      <c r="E78" s="152"/>
      <c r="F78" s="152"/>
      <c r="G78" s="152"/>
      <c r="H78" s="157"/>
      <c r="I78" s="126"/>
      <c r="J78" s="232" t="s">
        <v>1564</v>
      </c>
      <c r="K78" s="126"/>
      <c r="L78" s="126"/>
      <c r="M78" s="126"/>
      <c r="N78" s="753"/>
      <c r="O78" s="129"/>
      <c r="P78" s="129"/>
      <c r="Q78" s="227" t="s">
        <v>1565</v>
      </c>
      <c r="R78" s="228">
        <v>4</v>
      </c>
      <c r="S78" s="229"/>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30">
        <v>1</v>
      </c>
    </row>
    <row r="79" spans="2:56" ht="21" customHeight="1" x14ac:dyDescent="0.25">
      <c r="B79" s="734"/>
      <c r="C79" s="233"/>
      <c r="D79" s="231"/>
      <c r="E79" s="152"/>
      <c r="F79" s="152"/>
      <c r="G79" s="152"/>
      <c r="H79" s="157"/>
      <c r="I79" s="126"/>
      <c r="J79" s="234" t="s">
        <v>1566</v>
      </c>
      <c r="K79" s="126"/>
      <c r="L79" s="126"/>
      <c r="M79" s="126"/>
      <c r="N79" s="753"/>
      <c r="O79" s="129"/>
      <c r="P79" s="129"/>
      <c r="Q79" s="129" t="s">
        <v>1567</v>
      </c>
      <c r="R79" s="235" t="str">
        <f>MID(Q75,R77,R78)</f>
        <v>4522</v>
      </c>
      <c r="S79" s="229"/>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30">
        <v>1</v>
      </c>
    </row>
    <row r="80" spans="2:56" ht="21" customHeight="1" x14ac:dyDescent="0.25">
      <c r="B80" s="734"/>
      <c r="C80" s="230" t="str">
        <f>HYPERLINK("#c131",_xlfn.UNICHAR(128269)&amp;"La bas")</f>
        <v>🔍La bas</v>
      </c>
      <c r="D80" s="231" t="str">
        <f ca="1">_xlfn.FORMULATEXT(C80)</f>
        <v>=LIEN_HYPERTEXTE("#c131";UNICAR(128269)&amp;"La bas")</v>
      </c>
      <c r="E80" s="152"/>
      <c r="F80" s="152"/>
      <c r="G80" s="152"/>
      <c r="H80" s="157"/>
      <c r="I80" s="126"/>
      <c r="J80" s="236" t="s">
        <v>1568</v>
      </c>
      <c r="K80" s="126"/>
      <c r="L80" s="126"/>
      <c r="M80" s="126"/>
      <c r="N80" s="753"/>
      <c r="O80" s="129"/>
      <c r="P80" s="129"/>
      <c r="Q80" s="129"/>
      <c r="R80" s="129"/>
      <c r="S80" s="229"/>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30">
        <v>1</v>
      </c>
    </row>
    <row r="81" spans="2:56" ht="21" customHeight="1" x14ac:dyDescent="0.25">
      <c r="B81" s="734"/>
      <c r="C81" s="233"/>
      <c r="D81" s="231"/>
      <c r="E81" s="152"/>
      <c r="F81" s="152"/>
      <c r="G81" s="152"/>
      <c r="H81" s="157"/>
      <c r="I81" s="126"/>
      <c r="J81" s="237" t="s">
        <v>1569</v>
      </c>
      <c r="K81" s="126"/>
      <c r="L81" s="126"/>
      <c r="M81" s="126"/>
      <c r="N81" s="753"/>
      <c r="O81" s="755" t="s">
        <v>1570</v>
      </c>
      <c r="P81" s="755"/>
      <c r="Q81" s="755"/>
      <c r="R81" s="755"/>
      <c r="S81" s="75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30">
        <v>1</v>
      </c>
    </row>
    <row r="82" spans="2:56" ht="21" customHeight="1" x14ac:dyDescent="0.25">
      <c r="B82" s="734"/>
      <c r="C82" s="238" t="str">
        <f>HYPERLINK("# c131"," 🔗 Cliquez")</f>
        <v xml:space="preserve"> 🔗 Cliquez</v>
      </c>
      <c r="D82" s="231" t="str">
        <f ca="1">_xlfn.FORMULATEXT(C82)</f>
        <v>=LIEN_HYPERTEXTE("# c131";" 🔗 Cliquez")</v>
      </c>
      <c r="E82" s="152"/>
      <c r="F82" s="152"/>
      <c r="G82" s="152"/>
      <c r="H82" s="157"/>
      <c r="I82" s="126"/>
      <c r="J82" s="239" t="s">
        <v>1571</v>
      </c>
      <c r="K82" s="126"/>
      <c r="L82" s="126"/>
      <c r="M82" s="126"/>
      <c r="N82" s="753"/>
      <c r="O82" s="755"/>
      <c r="P82" s="755"/>
      <c r="Q82" s="755"/>
      <c r="R82" s="755"/>
      <c r="S82" s="75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30">
        <v>1</v>
      </c>
    </row>
    <row r="83" spans="2:56" ht="21" customHeight="1" x14ac:dyDescent="0.25">
      <c r="B83" s="734"/>
      <c r="C83" s="152"/>
      <c r="D83" s="152"/>
      <c r="E83" s="152"/>
      <c r="F83" s="152"/>
      <c r="G83" s="152"/>
      <c r="H83" s="157"/>
      <c r="I83" s="126"/>
      <c r="J83" s="240" t="s">
        <v>1572</v>
      </c>
      <c r="K83" s="126"/>
      <c r="L83" s="126"/>
      <c r="M83" s="126"/>
      <c r="N83" s="753"/>
      <c r="O83" s="241">
        <v>11</v>
      </c>
      <c r="P83" s="241">
        <v>11</v>
      </c>
      <c r="Q83" s="241">
        <v>11</v>
      </c>
      <c r="R83" s="241">
        <v>11</v>
      </c>
      <c r="S83" s="242">
        <v>11</v>
      </c>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30">
        <v>1</v>
      </c>
    </row>
    <row r="84" spans="2:56" ht="21" customHeight="1" thickBot="1" x14ac:dyDescent="0.3">
      <c r="B84" s="734"/>
      <c r="C84" s="162" t="s">
        <v>1573</v>
      </c>
      <c r="D84" s="152"/>
      <c r="E84" s="152"/>
      <c r="F84" s="152"/>
      <c r="G84" s="152"/>
      <c r="H84" s="157"/>
      <c r="I84" s="126"/>
      <c r="J84" s="243" t="s">
        <v>1574</v>
      </c>
      <c r="K84" s="126"/>
      <c r="L84" s="126"/>
      <c r="M84" s="126"/>
      <c r="N84" s="754"/>
      <c r="O84" s="205">
        <f t="shared" ref="O84:S84" ca="1" si="7">CELL("largeur",O84)</f>
        <v>14</v>
      </c>
      <c r="P84" s="205">
        <f t="shared" ca="1" si="7"/>
        <v>14</v>
      </c>
      <c r="Q84" s="205">
        <f t="shared" ca="1" si="7"/>
        <v>10</v>
      </c>
      <c r="R84" s="205">
        <f t="shared" ca="1" si="7"/>
        <v>10</v>
      </c>
      <c r="S84" s="206">
        <f t="shared" ca="1" si="7"/>
        <v>10</v>
      </c>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30">
        <v>1</v>
      </c>
    </row>
    <row r="85" spans="2:56" ht="21" customHeight="1" x14ac:dyDescent="0.3">
      <c r="B85" s="734"/>
      <c r="C85" s="244" t="s">
        <v>1575</v>
      </c>
      <c r="D85" s="152"/>
      <c r="E85" s="152"/>
      <c r="F85" s="152"/>
      <c r="G85" s="152"/>
      <c r="H85" s="157"/>
      <c r="I85" s="126"/>
      <c r="J85" s="245" t="s">
        <v>1576</v>
      </c>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30">
        <v>1</v>
      </c>
    </row>
    <row r="86" spans="2:56" ht="21" customHeight="1" x14ac:dyDescent="0.25">
      <c r="B86" s="734"/>
      <c r="C86" s="246"/>
      <c r="D86" s="152"/>
      <c r="E86" s="152"/>
      <c r="F86" s="152"/>
      <c r="G86" s="152"/>
      <c r="H86" s="157"/>
      <c r="I86" s="126"/>
      <c r="J86" s="247" t="s">
        <v>1577</v>
      </c>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30">
        <v>1</v>
      </c>
    </row>
    <row r="87" spans="2:56" ht="21" customHeight="1" x14ac:dyDescent="0.25">
      <c r="B87" s="734"/>
      <c r="C87" s="248" t="s">
        <v>1578</v>
      </c>
      <c r="D87" s="152"/>
      <c r="E87" s="152"/>
      <c r="F87" s="152"/>
      <c r="G87" s="152"/>
      <c r="H87" s="157"/>
      <c r="I87" s="126"/>
      <c r="J87" s="249" t="s">
        <v>1579</v>
      </c>
      <c r="K87" s="126"/>
      <c r="L87" s="126"/>
      <c r="M87" s="126"/>
      <c r="N87" s="250" t="s">
        <v>1580</v>
      </c>
      <c r="O87" s="757" t="s">
        <v>1581</v>
      </c>
      <c r="P87" s="757"/>
      <c r="Q87" s="757"/>
      <c r="R87" s="757"/>
      <c r="S87" s="757"/>
      <c r="T87" s="757"/>
      <c r="U87" s="757"/>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30">
        <v>1</v>
      </c>
    </row>
    <row r="88" spans="2:56" ht="21" customHeight="1" x14ac:dyDescent="0.25">
      <c r="B88" s="734"/>
      <c r="C88" s="152"/>
      <c r="D88" s="152"/>
      <c r="E88" s="152"/>
      <c r="F88" s="152"/>
      <c r="G88" s="152"/>
      <c r="H88" s="157"/>
      <c r="I88" s="126"/>
      <c r="J88" s="251" t="s">
        <v>1582</v>
      </c>
      <c r="K88" s="126"/>
      <c r="L88" s="126"/>
      <c r="M88" s="126"/>
      <c r="N88" s="250" t="s">
        <v>1580</v>
      </c>
      <c r="O88" s="757" t="s">
        <v>1583</v>
      </c>
      <c r="P88" s="757"/>
      <c r="Q88" s="757"/>
      <c r="R88" s="757"/>
      <c r="S88" s="757"/>
      <c r="T88" s="757"/>
      <c r="U88" s="757"/>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30">
        <v>1</v>
      </c>
    </row>
    <row r="89" spans="2:56" ht="21" customHeight="1" x14ac:dyDescent="0.25">
      <c r="B89" s="734"/>
      <c r="C89" s="152" t="s">
        <v>1584</v>
      </c>
      <c r="D89" s="152" t="s">
        <v>1585</v>
      </c>
      <c r="E89" s="152"/>
      <c r="F89" s="152"/>
      <c r="G89" s="152"/>
      <c r="H89" s="157"/>
      <c r="I89" s="126"/>
      <c r="J89" s="252" t="s">
        <v>1586</v>
      </c>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30">
        <v>1</v>
      </c>
    </row>
    <row r="90" spans="2:56" ht="21" customHeight="1" x14ac:dyDescent="0.25">
      <c r="B90" s="734"/>
      <c r="C90" s="152"/>
      <c r="D90" s="152"/>
      <c r="E90" s="152"/>
      <c r="F90" s="152"/>
      <c r="G90" s="152"/>
      <c r="H90" s="157"/>
      <c r="I90" s="126"/>
      <c r="J90" s="253" t="s">
        <v>1587</v>
      </c>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30">
        <v>1</v>
      </c>
    </row>
    <row r="91" spans="2:56" ht="21" customHeight="1" x14ac:dyDescent="0.25">
      <c r="B91" s="734"/>
      <c r="C91" s="152" t="s">
        <v>1588</v>
      </c>
      <c r="D91" s="152"/>
      <c r="E91" s="152"/>
      <c r="F91" s="152"/>
      <c r="G91" s="152"/>
      <c r="H91" s="157"/>
      <c r="I91" s="126"/>
      <c r="J91" s="254" t="s">
        <v>1589</v>
      </c>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30">
        <v>1</v>
      </c>
    </row>
    <row r="92" spans="2:56" ht="21" customHeight="1" x14ac:dyDescent="0.25">
      <c r="B92" s="734"/>
      <c r="C92" s="152"/>
      <c r="D92" s="255" t="s">
        <v>1590</v>
      </c>
      <c r="E92" s="152"/>
      <c r="F92" s="255" t="s">
        <v>1591</v>
      </c>
      <c r="G92" s="152"/>
      <c r="H92" s="157" t="s">
        <v>1592</v>
      </c>
      <c r="I92" s="126"/>
      <c r="J92" s="256" t="s">
        <v>1593</v>
      </c>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30">
        <v>1</v>
      </c>
    </row>
    <row r="93" spans="2:56" ht="21" customHeight="1" x14ac:dyDescent="0.25">
      <c r="B93" s="734"/>
      <c r="C93" s="152" t="s">
        <v>1594</v>
      </c>
      <c r="D93" s="152"/>
      <c r="E93" s="152"/>
      <c r="F93" s="152"/>
      <c r="G93" s="152"/>
      <c r="H93" s="157"/>
      <c r="I93" s="126"/>
      <c r="J93" s="257" t="s">
        <v>1595</v>
      </c>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30">
        <v>1</v>
      </c>
    </row>
    <row r="94" spans="2:56" ht="21" customHeight="1" x14ac:dyDescent="0.25">
      <c r="B94" s="734"/>
      <c r="C94" s="152"/>
      <c r="D94" s="255" t="s">
        <v>1596</v>
      </c>
      <c r="E94" s="152"/>
      <c r="F94" s="255" t="s">
        <v>1597</v>
      </c>
      <c r="G94" s="152"/>
      <c r="H94" s="157"/>
      <c r="I94" s="126"/>
      <c r="J94" s="258" t="s">
        <v>1598</v>
      </c>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30">
        <v>1</v>
      </c>
    </row>
    <row r="95" spans="2:56" ht="21" customHeight="1" x14ac:dyDescent="0.25">
      <c r="B95" s="734"/>
      <c r="C95" s="152"/>
      <c r="D95" s="255"/>
      <c r="E95" s="152"/>
      <c r="F95" s="255"/>
      <c r="G95" s="152"/>
      <c r="H95" s="157"/>
      <c r="I95" s="126"/>
      <c r="J95" s="259" t="s">
        <v>1599</v>
      </c>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30">
        <v>1</v>
      </c>
    </row>
    <row r="96" spans="2:56" ht="21" customHeight="1" x14ac:dyDescent="0.25">
      <c r="B96" s="734"/>
      <c r="C96" s="152"/>
      <c r="D96" s="255"/>
      <c r="E96" s="202" t="s">
        <v>1600</v>
      </c>
      <c r="F96" s="255" t="s">
        <v>1601</v>
      </c>
      <c r="G96" s="152"/>
      <c r="H96" s="157"/>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30">
        <v>1</v>
      </c>
    </row>
    <row r="97" spans="1:56" ht="21" customHeight="1" x14ac:dyDescent="0.25">
      <c r="B97" s="734"/>
      <c r="C97" s="152"/>
      <c r="D97" s="255"/>
      <c r="E97" s="152"/>
      <c r="F97" s="255"/>
      <c r="G97" s="152"/>
      <c r="H97" s="157"/>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30">
        <v>1</v>
      </c>
    </row>
    <row r="98" spans="1:56" ht="21" customHeight="1" x14ac:dyDescent="0.25">
      <c r="B98" s="734"/>
      <c r="C98" s="152" t="s">
        <v>1602</v>
      </c>
      <c r="D98" s="255"/>
      <c r="E98" s="152"/>
      <c r="F98" s="255"/>
      <c r="G98" s="152"/>
      <c r="H98" s="157"/>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30">
        <v>1</v>
      </c>
    </row>
    <row r="99" spans="1:56" ht="21" customHeight="1" x14ac:dyDescent="0.25">
      <c r="B99" s="734"/>
      <c r="C99" s="152"/>
      <c r="D99" s="255" t="s">
        <v>1603</v>
      </c>
      <c r="E99" s="152"/>
      <c r="F99" s="255"/>
      <c r="G99" s="152"/>
      <c r="H99" s="157" t="s">
        <v>1592</v>
      </c>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30">
        <v>1</v>
      </c>
    </row>
    <row r="100" spans="1:56" ht="21" customHeight="1" thickBot="1" x14ac:dyDescent="0.3">
      <c r="B100" s="735"/>
      <c r="C100" s="260"/>
      <c r="D100" s="260"/>
      <c r="E100" s="260"/>
      <c r="F100" s="260"/>
      <c r="G100" s="260"/>
      <c r="H100" s="261"/>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30">
        <v>1</v>
      </c>
    </row>
    <row r="101" spans="1:56" ht="21" customHeight="1" x14ac:dyDescent="0.6">
      <c r="A101" s="126">
        <v>1</v>
      </c>
      <c r="B101" s="126"/>
      <c r="C101" s="143"/>
      <c r="D101" s="143"/>
      <c r="E101" s="143"/>
      <c r="F101" s="143"/>
      <c r="G101" s="143"/>
      <c r="H101" s="262"/>
      <c r="I101" s="262"/>
      <c r="J101" s="263" t="s">
        <v>1604</v>
      </c>
      <c r="K101" s="126"/>
      <c r="L101" s="126"/>
      <c r="M101" s="126"/>
      <c r="N101" s="126"/>
      <c r="O101" s="264" t="s">
        <v>1605</v>
      </c>
      <c r="P101" s="207"/>
      <c r="Q101" s="207"/>
      <c r="R101" s="126"/>
      <c r="S101" s="126">
        <v>1</v>
      </c>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30">
        <v>1</v>
      </c>
    </row>
    <row r="102" spans="1:56" ht="21" customHeight="1" x14ac:dyDescent="0.25">
      <c r="A102" s="126">
        <v>1</v>
      </c>
      <c r="B102" s="126"/>
      <c r="C102" s="265" t="s">
        <v>1606</v>
      </c>
      <c r="D102" s="143"/>
      <c r="E102" s="143"/>
      <c r="F102" s="143"/>
      <c r="G102" s="143"/>
      <c r="H102" s="143"/>
      <c r="I102" s="143"/>
      <c r="J102" s="263" t="s">
        <v>1607</v>
      </c>
      <c r="K102" s="126"/>
      <c r="L102" s="126"/>
      <c r="M102" s="126"/>
      <c r="N102" s="126"/>
      <c r="O102" s="758" t="s">
        <v>1608</v>
      </c>
      <c r="P102" s="759" t="s">
        <v>1609</v>
      </c>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30">
        <v>1</v>
      </c>
    </row>
    <row r="103" spans="1:56" ht="21" customHeight="1" x14ac:dyDescent="0.25">
      <c r="A103" s="126">
        <v>1</v>
      </c>
      <c r="B103" s="126"/>
      <c r="C103" s="143" t="s">
        <v>1610</v>
      </c>
      <c r="D103" s="143"/>
      <c r="E103" s="143"/>
      <c r="F103" s="143"/>
      <c r="G103" s="143"/>
      <c r="H103" s="266" t="s">
        <v>1611</v>
      </c>
      <c r="I103" s="267">
        <f>IF(H104=D130,E113/(100-F114)*100)</f>
        <v>2.5</v>
      </c>
      <c r="J103" s="231" t="str">
        <f ca="1">_xlfn.FORMULATEXT(I103)</f>
        <v>=SI(H104=D130;E113/(100-F114)*100)</v>
      </c>
      <c r="K103" s="162"/>
      <c r="L103" s="126">
        <v>1</v>
      </c>
      <c r="M103" s="126">
        <v>1</v>
      </c>
      <c r="N103" s="126"/>
      <c r="O103" s="758"/>
      <c r="P103" s="759"/>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30">
        <v>1</v>
      </c>
    </row>
    <row r="104" spans="1:56" ht="21" customHeight="1" x14ac:dyDescent="0.25">
      <c r="A104" s="126">
        <v>1</v>
      </c>
      <c r="B104" s="126"/>
      <c r="C104" s="143" t="s">
        <v>1612</v>
      </c>
      <c r="D104" s="143"/>
      <c r="E104" s="143"/>
      <c r="F104" s="143"/>
      <c r="G104" s="143"/>
      <c r="H104" s="268" t="s">
        <v>1613</v>
      </c>
      <c r="I104" s="267">
        <f>IF(H113=D130,E113-(E113*F114%))</f>
        <v>0.625</v>
      </c>
      <c r="J104" s="231" t="str">
        <f ca="1">_xlfn.FORMULATEXT(I104)</f>
        <v>=SI(H113=D130;E113-(E113*F114%))</v>
      </c>
      <c r="K104" s="162"/>
      <c r="L104" s="126">
        <v>1</v>
      </c>
      <c r="M104" s="126">
        <v>1</v>
      </c>
      <c r="N104" s="126"/>
      <c r="O104" s="126">
        <v>1</v>
      </c>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30">
        <v>1</v>
      </c>
    </row>
    <row r="105" spans="1:56" ht="21" customHeight="1" thickBot="1" x14ac:dyDescent="0.3">
      <c r="A105" s="126">
        <v>1</v>
      </c>
      <c r="B105" s="126"/>
      <c r="C105" s="126">
        <v>1</v>
      </c>
      <c r="D105" s="126">
        <v>1</v>
      </c>
      <c r="E105" s="126">
        <v>1</v>
      </c>
      <c r="F105" s="126">
        <v>1</v>
      </c>
      <c r="G105" s="126">
        <v>1</v>
      </c>
      <c r="H105" s="126">
        <v>1</v>
      </c>
      <c r="I105" s="126">
        <v>1</v>
      </c>
      <c r="J105" s="269"/>
      <c r="K105" s="126"/>
      <c r="L105" s="126">
        <v>1</v>
      </c>
      <c r="M105" s="126">
        <v>1</v>
      </c>
      <c r="N105" s="126"/>
      <c r="O105" s="760" t="s">
        <v>1614</v>
      </c>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30">
        <v>1</v>
      </c>
    </row>
    <row r="106" spans="1:56" ht="21" customHeight="1" x14ac:dyDescent="0.25">
      <c r="A106" s="126">
        <v>1</v>
      </c>
      <c r="B106" s="730" t="s">
        <v>1505</v>
      </c>
      <c r="C106" s="744" t="s">
        <v>1615</v>
      </c>
      <c r="D106" s="744"/>
      <c r="E106" s="744"/>
      <c r="F106" s="744"/>
      <c r="G106" s="270"/>
      <c r="H106" s="271" t="str">
        <f>E114</f>
        <v>❻ %  de PERTE &gt;</v>
      </c>
      <c r="I106" s="272" t="str">
        <f>_xlfn.UNICHAR(128269)&amp;"Cliquez sur les loupes"</f>
        <v>🔍Cliquez sur les loupes</v>
      </c>
      <c r="J106" s="207"/>
      <c r="K106" s="273" t="s">
        <v>1525</v>
      </c>
      <c r="L106" s="162"/>
      <c r="M106" s="162"/>
      <c r="N106" s="162"/>
      <c r="O106" s="760"/>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30">
        <v>1</v>
      </c>
    </row>
    <row r="107" spans="1:56" ht="21" customHeight="1" x14ac:dyDescent="0.25">
      <c r="A107" s="126">
        <v>1</v>
      </c>
      <c r="B107" s="731"/>
      <c r="C107" s="274"/>
      <c r="D107" s="274"/>
      <c r="E107" s="275"/>
      <c r="F107" s="276" t="s">
        <v>1616</v>
      </c>
      <c r="G107" s="277" t="str">
        <f>IF(F113=D129,"CRU- Brut ou à cuire","CUIT - Net à servir")</f>
        <v>CRU- Brut ou à cuire</v>
      </c>
      <c r="H107" s="278"/>
      <c r="I107" s="279" t="str">
        <f>HYPERLINK("#"&amp;ADDRESS(ROW(G107),COLUMN(G107),4),_xlfn.UNICHAR(128269)&amp;"cellule "&amp;ADDRESS(ROW(G107),COLUMN(G107),4))</f>
        <v>🔍cellule G107</v>
      </c>
      <c r="J107" s="280" t="str">
        <f>G107</f>
        <v>CRU- Brut ou à cuire</v>
      </c>
      <c r="K107" s="231" t="str">
        <f ca="1">_xlfn.FORMULATEXT(G107)</f>
        <v>=SI(F113=D129;"CRU- Brut ou à cuire";"CUIT - Net à servir")</v>
      </c>
      <c r="L107" s="162"/>
      <c r="M107" s="162"/>
      <c r="N107" s="162"/>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30">
        <v>1</v>
      </c>
    </row>
    <row r="108" spans="1:56" ht="21" customHeight="1" x14ac:dyDescent="0.25">
      <c r="A108" s="126">
        <v>1</v>
      </c>
      <c r="B108" s="762">
        <v>3</v>
      </c>
      <c r="C108" s="764" t="str">
        <f>D110</f>
        <v>Sautés en morceaux service au poids</v>
      </c>
      <c r="D108" s="764"/>
      <c r="E108" s="764"/>
      <c r="F108" s="764"/>
      <c r="G108" s="764"/>
      <c r="H108" s="765"/>
      <c r="I108" s="279" t="str">
        <f>HYPERLINK("#"&amp;ADDRESS(ROW(E109),COLUMN(E109),4),_xlfn.UNICHAR(128269)&amp;"cellule "&amp;ADDRESS(ROW(E109),COLUMN(E109),4))</f>
        <v>🔍cellule E109</v>
      </c>
      <c r="J108" s="281">
        <f>E109</f>
        <v>46</v>
      </c>
      <c r="K108" s="231" t="str">
        <f ca="1">_xlfn.FORMULATEXT(E109)</f>
        <v>=ENT(E119/E113)</v>
      </c>
      <c r="L108" s="162"/>
      <c r="M108" s="162"/>
      <c r="N108" s="162"/>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30">
        <v>1</v>
      </c>
    </row>
    <row r="109" spans="1:56" ht="21" customHeight="1" x14ac:dyDescent="0.25">
      <c r="A109" s="126">
        <v>1</v>
      </c>
      <c r="B109" s="762"/>
      <c r="C109" s="282"/>
      <c r="D109" s="283" t="s">
        <v>1617</v>
      </c>
      <c r="E109" s="284">
        <f>INT(E119/E113)</f>
        <v>46</v>
      </c>
      <c r="F109" s="285">
        <f>IF(E109=0,0,IF(E120=0,0,E113))</f>
        <v>1.25</v>
      </c>
      <c r="G109" s="286" t="str">
        <f>IF(F109*E109=0,"1 de",IF(E119=0,0,IF(E113=0,0,IF(F109*E109=E119,"",IF(H109&gt;0,"Plus 1 de")))))</f>
        <v>Plus 1 de</v>
      </c>
      <c r="H109" s="287">
        <f>IF(E113=0,0,IF(F109*E109=E119,"",MOD(E119,E113)))</f>
        <v>0.10000000000000142</v>
      </c>
      <c r="I109" s="279" t="str">
        <f>HYPERLINK("#"&amp;ADDRESS(ROW(F109),COLUMN(F109),4),_xlfn.UNICHAR(128269)&amp;"cellule "&amp;ADDRESS(ROW(F109),COLUMN(F109),4))</f>
        <v>🔍cellule F109</v>
      </c>
      <c r="J109" s="288">
        <f>F109</f>
        <v>1.25</v>
      </c>
      <c r="K109" s="231" t="str">
        <f ca="1">_xlfn.FORMULATEXT(F109)</f>
        <v>=SI(E109=0;0;SI(E120=0;0;E113))</v>
      </c>
      <c r="L109" s="162"/>
      <c r="M109" s="162"/>
      <c r="N109" s="162"/>
      <c r="O109" s="162"/>
      <c r="P109" s="162"/>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30">
        <v>1</v>
      </c>
    </row>
    <row r="110" spans="1:56" ht="21" customHeight="1" x14ac:dyDescent="0.25">
      <c r="A110" s="126">
        <v>1</v>
      </c>
      <c r="B110" s="762"/>
      <c r="C110" s="289" t="s">
        <v>1618</v>
      </c>
      <c r="D110" s="290" t="s">
        <v>1619</v>
      </c>
      <c r="E110" s="291"/>
      <c r="F110" s="162"/>
      <c r="G110" s="162"/>
      <c r="H110" s="292"/>
      <c r="I110" s="279" t="str">
        <f>HYPERLINK("#"&amp;ADDRESS(ROW(G109),COLUMN(G109),4),_xlfn.UNICHAR(128269)&amp;"cellule "&amp;ADDRESS(ROW(G109),COLUMN(G109),4))</f>
        <v>🔍cellule G109</v>
      </c>
      <c r="J110" s="293" t="str">
        <f>HYPERLINK("# G31",G109)</f>
        <v>Plus 1 de</v>
      </c>
      <c r="K110" s="231" t="str">
        <f ca="1">_xlfn.FORMULATEXT(G109)</f>
        <v>=SI(F109*E109=0;"1 de";SI(E119=0;0;SI(E113=0;0;SI(F109*E109=E119;"";SI(H109&gt;0;"Plus 1 de")))))</v>
      </c>
      <c r="L110" s="162"/>
      <c r="M110" s="162"/>
      <c r="N110" s="162"/>
      <c r="O110" s="162"/>
      <c r="P110" s="162"/>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30">
        <v>1</v>
      </c>
    </row>
    <row r="111" spans="1:56" ht="21" customHeight="1" x14ac:dyDescent="0.25">
      <c r="A111" s="126">
        <v>1</v>
      </c>
      <c r="B111" s="762"/>
      <c r="C111" s="162"/>
      <c r="D111" s="162"/>
      <c r="E111" s="294" t="s">
        <v>1620</v>
      </c>
      <c r="F111" s="766" t="s">
        <v>1621</v>
      </c>
      <c r="G111" s="766"/>
      <c r="H111" s="767"/>
      <c r="I111" s="279" t="str">
        <f>HYPERLINK("#"&amp;ADDRESS(ROW(H109),COLUMN(H109),4),_xlfn.UNICHAR(128269)&amp;"cellule "&amp;ADDRESS(ROW(H109),COLUMN(H109),4))</f>
        <v>🔍cellule H109</v>
      </c>
      <c r="J111" s="295">
        <f>H109</f>
        <v>0.10000000000000142</v>
      </c>
      <c r="K111" s="231" t="str">
        <f ca="1">_xlfn.FORMULATEXT(H109)</f>
        <v>=SI(E113=0;0;SI(F109*E109=E119;"";MOD(E119;E113)))</v>
      </c>
      <c r="L111" s="162"/>
      <c r="M111" s="162"/>
      <c r="N111" s="162"/>
      <c r="O111" s="162"/>
      <c r="P111" s="162"/>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26"/>
      <c r="AZ111" s="126"/>
      <c r="BA111" s="126"/>
      <c r="BB111" s="126"/>
      <c r="BC111" s="126"/>
      <c r="BD111" s="130">
        <v>1</v>
      </c>
    </row>
    <row r="112" spans="1:56" ht="21" customHeight="1" x14ac:dyDescent="0.25">
      <c r="A112" s="126">
        <v>1</v>
      </c>
      <c r="B112" s="762"/>
      <c r="C112" s="162"/>
      <c r="D112" s="296"/>
      <c r="E112" s="297"/>
      <c r="F112" s="298" t="s">
        <v>1622</v>
      </c>
      <c r="G112" s="296"/>
      <c r="H112" s="292"/>
      <c r="I112" s="152"/>
      <c r="J112" s="299"/>
      <c r="K112" s="162"/>
      <c r="L112" s="162"/>
      <c r="M112" s="162"/>
      <c r="N112" s="162"/>
      <c r="O112" s="162"/>
      <c r="P112" s="162"/>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30">
        <v>1</v>
      </c>
    </row>
    <row r="113" spans="1:56" ht="21" customHeight="1" x14ac:dyDescent="0.25">
      <c r="A113" s="126">
        <v>1</v>
      </c>
      <c r="B113" s="762"/>
      <c r="C113" s="300"/>
      <c r="D113" s="301" t="s">
        <v>1623</v>
      </c>
      <c r="E113" s="302">
        <v>1.25</v>
      </c>
      <c r="F113" s="303" t="s">
        <v>1611</v>
      </c>
      <c r="G113" s="304">
        <f>IF(F113=D129,E113-(E113*F114%),IF(F113=D130,E113/(100-F114)*100))</f>
        <v>0.625</v>
      </c>
      <c r="H113" s="305" t="str">
        <f>H116</f>
        <v>❺ Kg cuit</v>
      </c>
      <c r="I113" s="279" t="str">
        <f>HYPERLINK("#"&amp;ADDRESS(ROW(G113),COLUMN(G113),4),_xlfn.UNICHAR(128269)&amp;"cellule "&amp;ADDRESS(ROW(G113),COLUMN(G113),4))</f>
        <v>🔍cellule G113</v>
      </c>
      <c r="J113" s="267">
        <f>G113</f>
        <v>0.625</v>
      </c>
      <c r="K113" s="231" t="str">
        <f ca="1">_xlfn.FORMULATEXT(G113)</f>
        <v>=SI(F113=D129;E113-(E113*F114%);SI(F113=D130;E113/(100-F114)*100))</v>
      </c>
      <c r="L113" s="162"/>
      <c r="M113" s="162"/>
      <c r="N113" s="162"/>
      <c r="O113" s="162"/>
      <c r="P113" s="162"/>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30">
        <v>1</v>
      </c>
    </row>
    <row r="114" spans="1:56" ht="21" customHeight="1" x14ac:dyDescent="0.25">
      <c r="A114" s="126">
        <v>1</v>
      </c>
      <c r="B114" s="762"/>
      <c r="C114" s="162"/>
      <c r="D114" s="207"/>
      <c r="E114" s="306" t="str">
        <f>IF(F116=D130,"❻ % de BONI &gt;",IF(F116=D129,"❻ %  de PERTE &gt;",IF(ISBLANK(F114),0)))</f>
        <v>❻ %  de PERTE &gt;</v>
      </c>
      <c r="F114" s="307">
        <v>50</v>
      </c>
      <c r="G114" s="162"/>
      <c r="H114" s="292"/>
      <c r="I114" s="279" t="str">
        <f>HYPERLINK("#"&amp;ADDRESS(ROW(E114),COLUMN(E114),4),_xlfn.UNICHAR(128269)&amp;"cellule "&amp;ADDRESS(ROW(E114),COLUMN(E114),4))</f>
        <v>🔍cellule E114</v>
      </c>
      <c r="J114" s="308" t="str">
        <f>E114</f>
        <v>❻ %  de PERTE &gt;</v>
      </c>
      <c r="K114" s="231" t="str">
        <f ca="1">_xlfn.FORMULATEXT(E114)</f>
        <v>=SI(F116=D130;"❻ % de BONI &gt;";SI(F116=D129;"❻ %  de PERTE &gt;";SI(ESTVIDE(F114);0)))</v>
      </c>
      <c r="L114" s="162"/>
      <c r="M114" s="162"/>
      <c r="N114" s="162"/>
      <c r="O114" s="162"/>
      <c r="P114" s="162"/>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30">
        <v>1</v>
      </c>
    </row>
    <row r="115" spans="1:56" ht="21" customHeight="1" x14ac:dyDescent="0.25">
      <c r="A115" s="126">
        <v>1</v>
      </c>
      <c r="B115" s="762"/>
      <c r="C115" s="162"/>
      <c r="D115" s="162"/>
      <c r="E115" s="162"/>
      <c r="F115" s="162"/>
      <c r="G115" s="162"/>
      <c r="H115" s="292"/>
      <c r="I115" s="152"/>
      <c r="J115" s="299"/>
      <c r="K115" s="162"/>
      <c r="L115" s="162"/>
      <c r="M115" s="162"/>
      <c r="N115" s="162"/>
      <c r="O115" s="162"/>
      <c r="P115" s="162"/>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26"/>
      <c r="AZ115" s="126"/>
      <c r="BA115" s="126"/>
      <c r="BB115" s="126"/>
      <c r="BC115" s="126"/>
      <c r="BD115" s="130">
        <v>1</v>
      </c>
    </row>
    <row r="116" spans="1:56" ht="21" customHeight="1" x14ac:dyDescent="0.25">
      <c r="A116" s="126">
        <v>1</v>
      </c>
      <c r="B116" s="762"/>
      <c r="C116" s="162"/>
      <c r="D116" s="309" t="s">
        <v>1624</v>
      </c>
      <c r="E116" s="310">
        <v>4.8000000000000001E-2</v>
      </c>
      <c r="F116" s="311" t="str">
        <f>F113</f>
        <v>❹ Kg cru</v>
      </c>
      <c r="G116" s="304">
        <f>IF(F116=D129,E116-(E116*F114%),IF(F116=D130,E116/(100-F114)*100))</f>
        <v>2.4E-2</v>
      </c>
      <c r="H116" s="312" t="str">
        <f>IF(F116=D129,D130,D129)</f>
        <v>❺ Kg cuit</v>
      </c>
      <c r="I116" s="279" t="str">
        <f>HYPERLINK("#"&amp;ADDRESS(ROW(G116),COLUMN(G116),4),_xlfn.UNICHAR(128269)&amp;"cellule "&amp;ADDRESS(ROW(G116),COLUMN(G116),4))</f>
        <v>🔍cellule G116</v>
      </c>
      <c r="J116" s="267">
        <f>G116</f>
        <v>2.4E-2</v>
      </c>
      <c r="K116" s="231" t="str">
        <f ca="1">_xlfn.FORMULATEXT(G116)</f>
        <v>=SI(F116=D129;E116-(E116*F114%);SI(F116=D130;E116/(100-F114)*100))</v>
      </c>
      <c r="L116" s="162"/>
      <c r="M116" s="162"/>
      <c r="N116" s="162"/>
      <c r="O116" s="162"/>
      <c r="P116" s="162"/>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26"/>
      <c r="AZ116" s="126"/>
      <c r="BA116" s="126"/>
      <c r="BB116" s="126"/>
      <c r="BC116" s="126"/>
      <c r="BD116" s="130">
        <v>1</v>
      </c>
    </row>
    <row r="117" spans="1:56" ht="21" customHeight="1" x14ac:dyDescent="0.25">
      <c r="A117" s="126">
        <v>1</v>
      </c>
      <c r="B117" s="762"/>
      <c r="C117" s="162"/>
      <c r="D117" s="313" t="s">
        <v>1625</v>
      </c>
      <c r="E117" s="314">
        <v>1200</v>
      </c>
      <c r="F117" s="315" t="s">
        <v>1626</v>
      </c>
      <c r="G117" s="162"/>
      <c r="H117" s="316"/>
      <c r="I117" s="152"/>
      <c r="J117" s="299"/>
      <c r="K117" s="162"/>
      <c r="L117" s="162"/>
      <c r="M117" s="162"/>
      <c r="N117" s="162"/>
      <c r="O117" s="162"/>
      <c r="P117" s="162"/>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30">
        <v>1</v>
      </c>
    </row>
    <row r="118" spans="1:56" ht="21" customHeight="1" x14ac:dyDescent="0.25">
      <c r="A118" s="126">
        <v>1</v>
      </c>
      <c r="B118" s="762"/>
      <c r="C118" s="162"/>
      <c r="D118" s="162"/>
      <c r="E118" s="162"/>
      <c r="F118" s="162"/>
      <c r="G118" s="162"/>
      <c r="H118" s="292"/>
      <c r="I118" s="152"/>
      <c r="J118" s="299"/>
      <c r="K118" s="162"/>
      <c r="L118" s="162"/>
      <c r="M118" s="162"/>
      <c r="N118" s="162"/>
      <c r="O118" s="162"/>
      <c r="P118" s="162"/>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26"/>
      <c r="AZ118" s="126"/>
      <c r="BA118" s="126"/>
      <c r="BB118" s="126"/>
      <c r="BC118" s="126"/>
      <c r="BD118" s="130">
        <v>1</v>
      </c>
    </row>
    <row r="119" spans="1:56" ht="21" customHeight="1" x14ac:dyDescent="0.25">
      <c r="A119" s="126">
        <v>1</v>
      </c>
      <c r="B119" s="762"/>
      <c r="C119" s="162"/>
      <c r="D119" s="317" t="s">
        <v>1627</v>
      </c>
      <c r="E119" s="318">
        <f>IF(E113=0,0,E116*E117)</f>
        <v>57.6</v>
      </c>
      <c r="F119" s="319" t="str">
        <f>F113</f>
        <v>❹ Kg cru</v>
      </c>
      <c r="G119" s="320">
        <f>IF(E113=0,0,G116*E117)</f>
        <v>28.8</v>
      </c>
      <c r="H119" s="321" t="str">
        <f>H116</f>
        <v>❺ Kg cuit</v>
      </c>
      <c r="I119" s="279" t="str">
        <f>HYPERLINK("#"&amp;ADDRESS(ROW(E119),COLUMN(E119),4),_xlfn.UNICHAR(128269)&amp;"cellule "&amp;ADDRESS(ROW(E119),COLUMN(E119),4))</f>
        <v>🔍cellule E119</v>
      </c>
      <c r="J119" s="318">
        <f>E119</f>
        <v>57.6</v>
      </c>
      <c r="K119" s="231" t="str">
        <f ca="1">_xlfn.FORMULATEXT(E119)</f>
        <v>=SI(E113=0;0;E116*E117)</v>
      </c>
      <c r="L119" s="162"/>
      <c r="M119" s="162"/>
      <c r="N119" s="162"/>
      <c r="O119" s="162"/>
      <c r="P119" s="162"/>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26"/>
      <c r="AZ119" s="126"/>
      <c r="BA119" s="126"/>
      <c r="BB119" s="126"/>
      <c r="BC119" s="126"/>
      <c r="BD119" s="130">
        <v>1</v>
      </c>
    </row>
    <row r="120" spans="1:56" ht="21" customHeight="1" x14ac:dyDescent="0.25">
      <c r="A120" s="126">
        <v>1</v>
      </c>
      <c r="B120" s="762"/>
      <c r="C120" s="207"/>
      <c r="D120" s="322" t="s">
        <v>1628</v>
      </c>
      <c r="E120" s="323">
        <f>IF(E113=0,0,IF(MOD(E119,E113)&gt;MOD(E119,E113)/2,INT(E119/E113)+1,INT(E119/E113)))</f>
        <v>47</v>
      </c>
      <c r="F120" s="324" t="s">
        <v>1629</v>
      </c>
      <c r="G120" s="325">
        <f>IF(ISBLANK(E116),0,E113/E116)</f>
        <v>26.041666666666668</v>
      </c>
      <c r="H120" s="292"/>
      <c r="I120" s="279" t="str">
        <f>HYPERLINK("#"&amp;ADDRESS(ROW(E120),COLUMN(E120),4),_xlfn.UNICHAR(128269)&amp;"cellule "&amp;ADDRESS(ROW(E120),COLUMN(E120),4))</f>
        <v>🔍cellule E120</v>
      </c>
      <c r="J120" s="323">
        <f>E120</f>
        <v>47</v>
      </c>
      <c r="K120" s="231" t="str">
        <f ca="1">_xlfn.FORMULATEXT(E120)</f>
        <v>=SI(E113=0;0;SI(MOD(E119;E113)&gt;MOD(E119;E113)/2;ENT(E119/E113)+1;ENT(E119/E113)))</v>
      </c>
      <c r="L120" s="162"/>
      <c r="M120" s="162"/>
      <c r="N120" s="162"/>
      <c r="O120" s="162"/>
      <c r="P120" s="162"/>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26"/>
      <c r="BD120" s="130">
        <v>1</v>
      </c>
    </row>
    <row r="121" spans="1:56" ht="21" customHeight="1" x14ac:dyDescent="0.25">
      <c r="A121" s="126">
        <v>1</v>
      </c>
      <c r="B121" s="762"/>
      <c r="C121" s="162"/>
      <c r="D121" s="322"/>
      <c r="E121" s="323"/>
      <c r="F121" s="326"/>
      <c r="G121" s="325"/>
      <c r="H121" s="292"/>
      <c r="I121" s="279" t="str">
        <f>HYPERLINK("#"&amp;ADDRESS(ROW(G120),COLUMN(G120),4),_xlfn.UNICHAR(128269)&amp;"cellule "&amp;ADDRESS(ROW(G120),COLUMN(G120),4))</f>
        <v>🔍cellule G120</v>
      </c>
      <c r="J121" s="325">
        <f>G120</f>
        <v>26.041666666666668</v>
      </c>
      <c r="K121" s="231" t="str">
        <f ca="1">_xlfn.FORMULATEXT(G120)</f>
        <v>=SI(ESTVIDE(E116);0;E113/E116)</v>
      </c>
      <c r="L121" s="162"/>
      <c r="M121" s="162"/>
      <c r="N121" s="162"/>
      <c r="O121" s="162"/>
      <c r="P121" s="162"/>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30">
        <v>1</v>
      </c>
    </row>
    <row r="122" spans="1:56" ht="21" customHeight="1" x14ac:dyDescent="0.25">
      <c r="A122" s="126">
        <v>1</v>
      </c>
      <c r="B122" s="762"/>
      <c r="C122" s="768" t="s">
        <v>1630</v>
      </c>
      <c r="D122" s="768"/>
      <c r="E122" s="768"/>
      <c r="F122" s="768"/>
      <c r="G122" s="768"/>
      <c r="H122" s="769"/>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30">
        <v>1</v>
      </c>
    </row>
    <row r="123" spans="1:56" ht="21" customHeight="1" x14ac:dyDescent="0.25">
      <c r="A123" s="126">
        <v>1</v>
      </c>
      <c r="B123" s="762"/>
      <c r="C123" s="768"/>
      <c r="D123" s="768"/>
      <c r="E123" s="768"/>
      <c r="F123" s="768"/>
      <c r="G123" s="768"/>
      <c r="H123" s="769"/>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30">
        <v>1</v>
      </c>
    </row>
    <row r="124" spans="1:56" ht="21" customHeight="1" x14ac:dyDescent="0.25">
      <c r="A124" s="126">
        <v>1</v>
      </c>
      <c r="B124" s="762"/>
      <c r="C124" s="327" t="s">
        <v>1631</v>
      </c>
      <c r="D124" s="328"/>
      <c r="E124" s="328"/>
      <c r="F124" s="328"/>
      <c r="G124" s="328"/>
      <c r="H124" s="329"/>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130">
        <v>1</v>
      </c>
    </row>
    <row r="125" spans="1:56" ht="21" customHeight="1" x14ac:dyDescent="0.25">
      <c r="A125" s="126">
        <v>1</v>
      </c>
      <c r="B125" s="762"/>
      <c r="C125" s="770" t="s">
        <v>1632</v>
      </c>
      <c r="D125" s="770"/>
      <c r="E125" s="770"/>
      <c r="F125" s="770"/>
      <c r="G125" s="770"/>
      <c r="H125" s="771"/>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30">
        <v>1</v>
      </c>
    </row>
    <row r="126" spans="1:56" ht="21" customHeight="1" x14ac:dyDescent="0.25">
      <c r="A126" s="126">
        <v>1</v>
      </c>
      <c r="B126" s="762"/>
      <c r="C126" s="330" t="s">
        <v>1633</v>
      </c>
      <c r="D126" s="162"/>
      <c r="E126" s="162"/>
      <c r="F126" s="266" t="s">
        <v>1634</v>
      </c>
      <c r="G126" s="162"/>
      <c r="H126" s="292"/>
      <c r="I126" s="126"/>
      <c r="J126" s="126"/>
      <c r="K126" s="126"/>
      <c r="L126" s="126"/>
      <c r="M126" s="126"/>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26"/>
      <c r="AZ126" s="126"/>
      <c r="BA126" s="126"/>
      <c r="BB126" s="126"/>
      <c r="BC126" s="126"/>
      <c r="BD126" s="130">
        <v>1</v>
      </c>
    </row>
    <row r="127" spans="1:56" ht="21" customHeight="1" x14ac:dyDescent="0.25">
      <c r="A127" s="126">
        <v>1</v>
      </c>
      <c r="B127" s="762"/>
      <c r="C127" s="331" t="s">
        <v>1620</v>
      </c>
      <c r="D127" s="162"/>
      <c r="E127" s="162"/>
      <c r="F127" s="332" t="s">
        <v>1635</v>
      </c>
      <c r="G127" s="162"/>
      <c r="H127" s="292"/>
      <c r="I127" s="126"/>
      <c r="J127" s="126"/>
      <c r="K127" s="126"/>
      <c r="L127" s="126"/>
      <c r="M127" s="126"/>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30">
        <v>1</v>
      </c>
    </row>
    <row r="128" spans="1:56" ht="21" customHeight="1" x14ac:dyDescent="0.25">
      <c r="A128" s="126">
        <v>1</v>
      </c>
      <c r="B128" s="762"/>
      <c r="C128" s="333" t="s">
        <v>1636</v>
      </c>
      <c r="D128" s="162"/>
      <c r="E128" s="162"/>
      <c r="F128" s="334" t="s">
        <v>1637</v>
      </c>
      <c r="G128" s="162"/>
      <c r="H128" s="292"/>
      <c r="I128" s="126"/>
      <c r="J128" s="126"/>
      <c r="K128" s="126"/>
      <c r="L128" s="126"/>
      <c r="M128" s="126"/>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26"/>
      <c r="AZ128" s="126"/>
      <c r="BA128" s="126"/>
      <c r="BB128" s="126"/>
      <c r="BC128" s="126"/>
      <c r="BD128" s="130">
        <v>1</v>
      </c>
    </row>
    <row r="129" spans="1:56" ht="21" customHeight="1" x14ac:dyDescent="0.25">
      <c r="A129" s="126">
        <v>1</v>
      </c>
      <c r="B129" s="762"/>
      <c r="C129" s="266"/>
      <c r="D129" s="303" t="s">
        <v>1611</v>
      </c>
      <c r="E129" s="162"/>
      <c r="F129" s="335" t="s">
        <v>1638</v>
      </c>
      <c r="G129" s="162"/>
      <c r="H129" s="292"/>
      <c r="I129" s="126"/>
      <c r="J129" s="126"/>
      <c r="K129" s="126"/>
      <c r="L129" s="126"/>
      <c r="M129" s="126"/>
      <c r="N129" s="126"/>
      <c r="O129" s="126"/>
      <c r="P129" s="126"/>
      <c r="Q129" s="126"/>
      <c r="R129" s="126"/>
      <c r="S129" s="126"/>
      <c r="T129" s="33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26"/>
      <c r="AZ129" s="126"/>
      <c r="BA129" s="126"/>
      <c r="BB129" s="126"/>
      <c r="BC129" s="126"/>
      <c r="BD129" s="130">
        <v>1</v>
      </c>
    </row>
    <row r="130" spans="1:56" ht="21" customHeight="1" x14ac:dyDescent="0.25">
      <c r="A130" s="126">
        <v>1</v>
      </c>
      <c r="B130" s="762"/>
      <c r="C130" s="268"/>
      <c r="D130" s="337" t="s">
        <v>1613</v>
      </c>
      <c r="E130" s="162"/>
      <c r="F130" s="338" t="s">
        <v>1639</v>
      </c>
      <c r="G130" s="162"/>
      <c r="H130" s="292"/>
      <c r="I130" s="126"/>
      <c r="J130" s="126"/>
      <c r="K130" s="126"/>
      <c r="L130" s="126"/>
      <c r="M130" s="126"/>
      <c r="N130" s="126"/>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26"/>
      <c r="AZ130" s="126"/>
      <c r="BA130" s="126"/>
      <c r="BB130" s="126"/>
      <c r="BC130" s="126"/>
      <c r="BD130" s="130">
        <v>1</v>
      </c>
    </row>
    <row r="131" spans="1:56" ht="21" customHeight="1" x14ac:dyDescent="0.25">
      <c r="A131" s="126">
        <v>1</v>
      </c>
      <c r="B131" s="762"/>
      <c r="C131" s="339"/>
      <c r="D131" s="162"/>
      <c r="E131" s="340" t="s">
        <v>1640</v>
      </c>
      <c r="F131" s="338"/>
      <c r="G131" s="339" t="s">
        <v>1641</v>
      </c>
      <c r="H131" s="341" t="str">
        <f>ADDRESS(ROW(F113),COLUMN(F113),4)</f>
        <v>F113</v>
      </c>
      <c r="I131" s="126"/>
      <c r="J131" s="126"/>
      <c r="K131" s="126"/>
      <c r="L131" s="126"/>
      <c r="M131" s="126"/>
      <c r="N131" s="126"/>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26"/>
      <c r="AZ131" s="126"/>
      <c r="BA131" s="126"/>
      <c r="BB131" s="126"/>
      <c r="BC131" s="126"/>
      <c r="BD131" s="130">
        <v>1</v>
      </c>
    </row>
    <row r="132" spans="1:56" ht="21" customHeight="1" x14ac:dyDescent="0.25">
      <c r="A132" s="126">
        <v>1</v>
      </c>
      <c r="B132" s="762"/>
      <c r="C132" s="195" t="s">
        <v>1642</v>
      </c>
      <c r="D132" s="342"/>
      <c r="E132" s="340"/>
      <c r="F132" s="195" t="s">
        <v>1643</v>
      </c>
      <c r="G132" s="162"/>
      <c r="H132" s="292"/>
      <c r="I132" s="126"/>
      <c r="J132" s="126"/>
      <c r="K132" s="126"/>
      <c r="L132" s="126"/>
      <c r="M132" s="126"/>
      <c r="N132" s="126"/>
      <c r="O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26"/>
      <c r="AZ132" s="126"/>
      <c r="BA132" s="126"/>
      <c r="BB132" s="126"/>
      <c r="BC132" s="126"/>
      <c r="BD132" s="130">
        <v>1</v>
      </c>
    </row>
    <row r="133" spans="1:56" ht="21" customHeight="1" x14ac:dyDescent="0.25">
      <c r="A133" s="126">
        <v>1</v>
      </c>
      <c r="B133" s="762"/>
      <c r="C133" s="198">
        <v>11</v>
      </c>
      <c r="D133" s="198">
        <v>11</v>
      </c>
      <c r="E133" s="198">
        <v>11</v>
      </c>
      <c r="F133" s="198">
        <v>11</v>
      </c>
      <c r="G133" s="198">
        <v>11</v>
      </c>
      <c r="H133" s="199">
        <v>11</v>
      </c>
      <c r="I133" s="200" t="s">
        <v>1543</v>
      </c>
      <c r="J133" s="207"/>
      <c r="K133" s="207"/>
      <c r="L133" s="126"/>
      <c r="M133" s="126"/>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30">
        <v>1</v>
      </c>
    </row>
    <row r="134" spans="1:56" ht="21" customHeight="1" thickBot="1" x14ac:dyDescent="0.3">
      <c r="A134" s="126">
        <v>1</v>
      </c>
      <c r="B134" s="763"/>
      <c r="C134" s="205">
        <f ca="1">CELL("largeur",C134)</f>
        <v>11</v>
      </c>
      <c r="D134" s="205">
        <f t="shared" ref="D134:H134" ca="1" si="8">CELL("largeur",D134)</f>
        <v>18</v>
      </c>
      <c r="E134" s="205">
        <f t="shared" ca="1" si="8"/>
        <v>11</v>
      </c>
      <c r="F134" s="205">
        <f t="shared" ca="1" si="8"/>
        <v>11</v>
      </c>
      <c r="G134" s="205">
        <f t="shared" ca="1" si="8"/>
        <v>11</v>
      </c>
      <c r="H134" s="206">
        <f t="shared" ca="1" si="8"/>
        <v>11</v>
      </c>
      <c r="I134" s="200" t="s">
        <v>1546</v>
      </c>
      <c r="J134" s="207"/>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26"/>
      <c r="AZ134" s="126"/>
      <c r="BA134" s="126"/>
      <c r="BB134" s="126"/>
      <c r="BC134" s="126"/>
      <c r="BD134" s="130">
        <v>1</v>
      </c>
    </row>
    <row r="135" spans="1:56" ht="21" customHeight="1" x14ac:dyDescent="0.25">
      <c r="A135" s="126"/>
      <c r="B135" s="126"/>
      <c r="C135" s="126"/>
      <c r="D135" s="126"/>
      <c r="E135" s="126"/>
      <c r="F135" s="126"/>
      <c r="G135" s="126"/>
      <c r="H135" s="126"/>
      <c r="I135" s="126"/>
      <c r="J135" s="126">
        <v>1</v>
      </c>
      <c r="K135" s="343" t="s">
        <v>1604</v>
      </c>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26"/>
      <c r="AZ135" s="126"/>
      <c r="BA135" s="126"/>
      <c r="BB135" s="126"/>
      <c r="BC135" s="126"/>
      <c r="BD135" s="130">
        <v>1</v>
      </c>
    </row>
    <row r="136" spans="1:56" ht="21" customHeight="1" thickBot="1" x14ac:dyDescent="0.3">
      <c r="A136" s="126"/>
      <c r="B136" s="155" t="s">
        <v>1644</v>
      </c>
      <c r="C136" s="155"/>
      <c r="D136" s="126"/>
      <c r="E136" s="126"/>
      <c r="F136" s="126"/>
      <c r="G136" s="126"/>
      <c r="H136" s="126"/>
      <c r="I136" s="344" t="s">
        <v>1645</v>
      </c>
      <c r="J136" s="126"/>
      <c r="K136" s="343" t="s">
        <v>1607</v>
      </c>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26"/>
      <c r="AZ136" s="126"/>
      <c r="BA136" s="126"/>
      <c r="BB136" s="126"/>
      <c r="BC136" s="126"/>
      <c r="BD136" s="130">
        <v>1</v>
      </c>
    </row>
    <row r="137" spans="1:56" ht="21" customHeight="1" x14ac:dyDescent="0.25">
      <c r="A137" s="126">
        <v>1</v>
      </c>
      <c r="B137" s="730" t="s">
        <v>1505</v>
      </c>
      <c r="C137" s="772" t="s">
        <v>1615</v>
      </c>
      <c r="D137" s="772"/>
      <c r="E137" s="772"/>
      <c r="F137" s="772"/>
      <c r="G137" s="345"/>
      <c r="H137" s="346" t="str">
        <f>E145</f>
        <v>❻ Foisonnement</v>
      </c>
      <c r="I137" s="347" t="s">
        <v>1646</v>
      </c>
      <c r="J137" s="207"/>
      <c r="K137" s="207"/>
      <c r="L137" s="273" t="s">
        <v>1525</v>
      </c>
      <c r="M137" s="126"/>
      <c r="N137" s="126"/>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26"/>
      <c r="AZ137" s="126"/>
      <c r="BA137" s="126"/>
      <c r="BB137" s="126"/>
      <c r="BC137" s="126"/>
      <c r="BD137" s="130">
        <v>1</v>
      </c>
    </row>
    <row r="138" spans="1:56" ht="21" customHeight="1" x14ac:dyDescent="0.25">
      <c r="A138" s="126"/>
      <c r="B138" s="731"/>
      <c r="C138" s="348"/>
      <c r="D138" s="348"/>
      <c r="E138" s="349"/>
      <c r="F138" s="350" t="s">
        <v>1647</v>
      </c>
      <c r="G138" s="351" t="str">
        <f>IF(F144=D160,"CRU- Brut ou à cuire","CUIT - Net à servir")</f>
        <v>CUIT - Net à servir</v>
      </c>
      <c r="H138" s="352"/>
      <c r="I138" s="353" t="str">
        <f>HYPERLINK("#"&amp;ADDRESS(ROW(G138),COLUMN(G138),4),"◀"&amp;ADDRESS(ROW(G138),COLUMN(G138),4))</f>
        <v>◀G138</v>
      </c>
      <c r="J138" s="354" t="str">
        <f>G138</f>
        <v>CUIT - Net à servir</v>
      </c>
      <c r="K138" s="231" t="str">
        <f ca="1">_xlfn.FORMULATEXT(G138)</f>
        <v>=SI(F144=D160;"CRU- Brut ou à cuire";"CUIT - Net à servir")</v>
      </c>
      <c r="L138" s="126"/>
      <c r="M138" s="126"/>
      <c r="N138" s="126"/>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26"/>
      <c r="AZ138" s="126"/>
      <c r="BA138" s="126"/>
      <c r="BB138" s="126"/>
      <c r="BC138" s="126"/>
      <c r="BD138" s="130">
        <v>1</v>
      </c>
    </row>
    <row r="139" spans="1:56" ht="21" customHeight="1" x14ac:dyDescent="0.25">
      <c r="A139" s="126"/>
      <c r="B139" s="773">
        <v>3</v>
      </c>
      <c r="C139" s="775" t="str">
        <f>D141</f>
        <v>Semoule (poids cru)</v>
      </c>
      <c r="D139" s="775"/>
      <c r="E139" s="775"/>
      <c r="F139" s="775"/>
      <c r="G139" s="775"/>
      <c r="H139" s="776"/>
      <c r="I139" s="353" t="str">
        <f>HYPERLINK("#"&amp;ADDRESS(ROW(E140),COLUMN(E140),4),"◀"&amp;ADDRESS(ROW(E140),COLUMN(E140),4))</f>
        <v>◀E140</v>
      </c>
      <c r="J139" s="355">
        <f>E140</f>
        <v>5</v>
      </c>
      <c r="K139" s="231" t="str">
        <f ca="1">_xlfn.FORMULATEXT(E140)</f>
        <v>=ENT(E150/E144)</v>
      </c>
      <c r="L139" s="126"/>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26"/>
      <c r="AZ139" s="126"/>
      <c r="BA139" s="126"/>
      <c r="BB139" s="126"/>
      <c r="BC139" s="126"/>
      <c r="BD139" s="130">
        <v>1</v>
      </c>
    </row>
    <row r="140" spans="1:56" ht="21" customHeight="1" x14ac:dyDescent="0.25">
      <c r="A140" s="126"/>
      <c r="B140" s="773"/>
      <c r="C140" s="356"/>
      <c r="D140" s="357" t="s">
        <v>1617</v>
      </c>
      <c r="E140" s="358">
        <f>INT(E150/E144)</f>
        <v>5</v>
      </c>
      <c r="F140" s="359">
        <f>IF(E140=0,0,IF(E151=0,0,E144))</f>
        <v>1</v>
      </c>
      <c r="G140" s="360" t="str">
        <f>IF(F140*E140=0,"1 de",IF(E150=0,0,IF(E144=0,0,IF(F140*E140=E150,"",IF(H140&gt;0,"Plus 1 de")))))</f>
        <v/>
      </c>
      <c r="H140" s="361" t="str">
        <f>IF(E144=0,0,IF(F140*E140=E150,"",MOD(E150,E144)))</f>
        <v/>
      </c>
      <c r="I140" s="353" t="str">
        <f>HYPERLINK("#"&amp;ADDRESS(ROW(F140),COLUMN(F140),4),"◀"&amp;ADDRESS(ROW(F140),COLUMN(F140),4))</f>
        <v>◀F140</v>
      </c>
      <c r="J140" s="362">
        <f>F140</f>
        <v>1</v>
      </c>
      <c r="K140" s="231" t="str">
        <f ca="1">_xlfn.FORMULATEXT(F140)</f>
        <v>=SI(E140=0;0;SI(E151=0;0;E144))</v>
      </c>
      <c r="L140" s="126"/>
      <c r="M140" s="126"/>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26"/>
      <c r="AZ140" s="126"/>
      <c r="BA140" s="126"/>
      <c r="BB140" s="126"/>
      <c r="BC140" s="126"/>
      <c r="BD140" s="130">
        <v>1</v>
      </c>
    </row>
    <row r="141" spans="1:56" ht="21" customHeight="1" x14ac:dyDescent="0.25">
      <c r="A141" s="126"/>
      <c r="B141" s="773"/>
      <c r="C141" s="363" t="s">
        <v>1648</v>
      </c>
      <c r="D141" s="364" t="s">
        <v>1649</v>
      </c>
      <c r="E141" s="291"/>
      <c r="F141" s="162"/>
      <c r="G141" s="162"/>
      <c r="H141" s="292"/>
      <c r="I141" s="353" t="str">
        <f>HYPERLINK("#"&amp;ADDRESS(ROW(G140),COLUMN(G140),4),"◀"&amp;ADDRESS(ROW(G140),COLUMN(G140),4))</f>
        <v>◀G140</v>
      </c>
      <c r="J141" s="365" t="str">
        <f>G140</f>
        <v/>
      </c>
      <c r="K141" s="231" t="str">
        <f ca="1">_xlfn.FORMULATEXT(G140)</f>
        <v>=SI(F140*E140=0;"1 de";SI(E150=0;0;SI(E144=0;0;SI(F140*E140=E150;"";SI(H140&gt;0;"Plus 1 de")))))</v>
      </c>
      <c r="L141" s="126"/>
      <c r="M141" s="126"/>
      <c r="N141" s="126"/>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26"/>
      <c r="AZ141" s="126"/>
      <c r="BA141" s="126"/>
      <c r="BB141" s="126"/>
      <c r="BC141" s="126"/>
      <c r="BD141" s="130">
        <v>1</v>
      </c>
    </row>
    <row r="142" spans="1:56" ht="21" customHeight="1" x14ac:dyDescent="0.25">
      <c r="A142" s="126"/>
      <c r="B142" s="773"/>
      <c r="C142" s="162"/>
      <c r="D142" s="162"/>
      <c r="E142" s="294" t="s">
        <v>1620</v>
      </c>
      <c r="F142" s="766" t="s">
        <v>1621</v>
      </c>
      <c r="G142" s="766"/>
      <c r="H142" s="767"/>
      <c r="I142" s="353" t="str">
        <f>HYPERLINK("#"&amp;ADDRESS(ROW(H140),COLUMN(H140),4),"◀"&amp;ADDRESS(ROW(H140),COLUMN(H140),4))</f>
        <v>◀H140</v>
      </c>
      <c r="J142" s="366" t="str">
        <f>H140</f>
        <v/>
      </c>
      <c r="K142" s="231" t="str">
        <f ca="1">_xlfn.FORMULATEXT(H140)</f>
        <v>=SI(E144=0;0;SI(F140*E140=E150;"";MOD(E150;E144)))</v>
      </c>
      <c r="L142" s="126"/>
      <c r="M142" s="126"/>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c r="AS142" s="126"/>
      <c r="AT142" s="126"/>
      <c r="AU142" s="126"/>
      <c r="AV142" s="126"/>
      <c r="AW142" s="126"/>
      <c r="AX142" s="126"/>
      <c r="AY142" s="126"/>
      <c r="AZ142" s="126"/>
      <c r="BA142" s="126"/>
      <c r="BB142" s="126"/>
      <c r="BC142" s="126"/>
      <c r="BD142" s="130">
        <v>1</v>
      </c>
    </row>
    <row r="143" spans="1:56" ht="21" customHeight="1" x14ac:dyDescent="0.25">
      <c r="A143" s="126"/>
      <c r="B143" s="773"/>
      <c r="C143" s="162"/>
      <c r="D143" s="296"/>
      <c r="E143" s="297"/>
      <c r="F143" s="298" t="s">
        <v>1622</v>
      </c>
      <c r="G143" s="296"/>
      <c r="H143" s="292"/>
      <c r="I143" s="353"/>
      <c r="J143" s="367"/>
      <c r="K143" s="162"/>
      <c r="L143" s="126"/>
      <c r="M143" s="126"/>
      <c r="N143" s="126"/>
      <c r="O143" s="126"/>
      <c r="P143" s="126"/>
      <c r="Q143" s="126"/>
      <c r="R143" s="126"/>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c r="AS143" s="126"/>
      <c r="AT143" s="126"/>
      <c r="AU143" s="126"/>
      <c r="AV143" s="126"/>
      <c r="AW143" s="126"/>
      <c r="AX143" s="126"/>
      <c r="AY143" s="126"/>
      <c r="AZ143" s="126"/>
      <c r="BA143" s="126"/>
      <c r="BB143" s="126"/>
      <c r="BC143" s="126"/>
      <c r="BD143" s="130">
        <v>1</v>
      </c>
    </row>
    <row r="144" spans="1:56" ht="21" customHeight="1" x14ac:dyDescent="0.25">
      <c r="A144" s="126"/>
      <c r="B144" s="773"/>
      <c r="C144" s="300"/>
      <c r="D144" s="301" t="s">
        <v>1623</v>
      </c>
      <c r="E144" s="368">
        <v>1</v>
      </c>
      <c r="F144" s="337" t="s">
        <v>1613</v>
      </c>
      <c r="G144" s="304">
        <f>IF(F144=D160,E144*F145,IF(F144=D161,E144/F145))</f>
        <v>0.5</v>
      </c>
      <c r="H144" s="305" t="str">
        <f>H147</f>
        <v>❹ Kg cru</v>
      </c>
      <c r="I144" s="369" t="str">
        <f>HYPERLINK("#"&amp;ADDRESS(ROW(G146),COLUMN(G146),4),"◀"&amp;ADDRESS(ROW(G146),COLUMN(G146),4))</f>
        <v>◀G146</v>
      </c>
      <c r="J144" s="267">
        <f>G144</f>
        <v>0.5</v>
      </c>
      <c r="K144" s="231" t="str">
        <f ca="1">_xlfn.FORMULATEXT(G144)</f>
        <v>=SI(F144=D160;E144*F145;SI(F144=D161;E144/F145))</v>
      </c>
      <c r="L144" s="126"/>
      <c r="M144" s="126"/>
      <c r="N144" s="126"/>
      <c r="O144" s="126"/>
      <c r="P144" s="126"/>
      <c r="Q144" s="126"/>
      <c r="R144" s="126"/>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30">
        <v>1</v>
      </c>
    </row>
    <row r="145" spans="1:56" ht="21" customHeight="1" x14ac:dyDescent="0.25">
      <c r="A145" s="126"/>
      <c r="B145" s="773"/>
      <c r="C145" s="162"/>
      <c r="D145" s="207"/>
      <c r="E145" s="370" t="s">
        <v>1637</v>
      </c>
      <c r="F145" s="371">
        <v>2</v>
      </c>
      <c r="G145" s="372" t="str">
        <f>IF(F144=D160,"cru X par","cuit / par")</f>
        <v>cuit / par</v>
      </c>
      <c r="H145" s="373">
        <f>F145</f>
        <v>2</v>
      </c>
      <c r="I145" s="353" t="str">
        <f>HYPERLINK("#"&amp;ADDRESS(ROW(G145),COLUMN(G145),4),"◀"&amp;ADDRESS(ROW(G145),COLUMN(G145),4))</f>
        <v>◀G145</v>
      </c>
      <c r="J145" s="374" t="str">
        <f>G145</f>
        <v>cuit / par</v>
      </c>
      <c r="K145" s="231" t="str">
        <f ca="1">_xlfn.FORMULATEXT(G145)</f>
        <v>=SI(F144=D160;"cru X par";"cuit / par")</v>
      </c>
      <c r="L145" s="126"/>
      <c r="M145" s="126"/>
      <c r="N145" s="126"/>
      <c r="O145" s="126"/>
      <c r="P145" s="126"/>
      <c r="Q145" s="126"/>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30">
        <v>1</v>
      </c>
    </row>
    <row r="146" spans="1:56" ht="21" customHeight="1" x14ac:dyDescent="0.25">
      <c r="A146" s="126"/>
      <c r="B146" s="773"/>
      <c r="C146" s="162"/>
      <c r="D146" s="162"/>
      <c r="E146" s="162"/>
      <c r="F146" s="162"/>
      <c r="G146" s="162"/>
      <c r="H146" s="292"/>
      <c r="I146" s="353"/>
      <c r="J146" s="367"/>
      <c r="K146" s="162"/>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30">
        <v>1</v>
      </c>
    </row>
    <row r="147" spans="1:56" ht="21" customHeight="1" x14ac:dyDescent="0.25">
      <c r="A147" s="126"/>
      <c r="B147" s="773"/>
      <c r="C147" s="162"/>
      <c r="D147" s="309" t="s">
        <v>1624</v>
      </c>
      <c r="E147" s="375">
        <v>0.05</v>
      </c>
      <c r="F147" s="311" t="str">
        <f>F144</f>
        <v>❺ Kg cuit</v>
      </c>
      <c r="G147" s="304">
        <f>IF(F144=D160,E147*F145,IF(F144=D161,E147/F145))</f>
        <v>2.5000000000000001E-2</v>
      </c>
      <c r="H147" s="312" t="str">
        <f>IF(F147=D160,D161,D160)</f>
        <v>❹ Kg cru</v>
      </c>
      <c r="I147" s="353" t="str">
        <f>HYPERLINK("#"&amp;ADDRESS(ROW(G147),COLUMN(G147),4),"◀"&amp;ADDRESS(ROW(G147),COLUMN(G147),4))</f>
        <v>◀G147</v>
      </c>
      <c r="J147" s="267">
        <f>G147</f>
        <v>2.5000000000000001E-2</v>
      </c>
      <c r="K147" s="376" t="str">
        <f ca="1">_xlfn.FORMULATEXT(G147)</f>
        <v>=SI(F144=D160;E147*F145;SI(F144=D161;E147/F145))</v>
      </c>
      <c r="L147" s="126"/>
      <c r="M147" s="126"/>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30">
        <v>1</v>
      </c>
    </row>
    <row r="148" spans="1:56" ht="21" customHeight="1" x14ac:dyDescent="0.25">
      <c r="A148" s="126"/>
      <c r="B148" s="773"/>
      <c r="C148" s="162"/>
      <c r="D148" s="313" t="s">
        <v>1625</v>
      </c>
      <c r="E148" s="377">
        <v>100</v>
      </c>
      <c r="F148" s="378" t="s">
        <v>1626</v>
      </c>
      <c r="G148" s="162"/>
      <c r="H148" s="316"/>
      <c r="I148" s="353" t="str">
        <f>HYPERLINK("#"&amp;ADDRESS(ROW(H147),COLUMN(H147),4),"◀"&amp;ADDRESS(ROW(H147),COLUMN(H147),4))</f>
        <v>◀H147</v>
      </c>
      <c r="J148" s="379" t="str">
        <f>H147</f>
        <v>❹ Kg cru</v>
      </c>
      <c r="K148" s="231" t="str">
        <f ca="1">_xlfn.FORMULATEXT(H147)</f>
        <v>=SI(F147=D160;D161;D160)</v>
      </c>
      <c r="L148" s="126"/>
      <c r="M148" s="126"/>
      <c r="N148" s="126"/>
      <c r="O148" s="126"/>
      <c r="P148" s="126"/>
      <c r="Q148" s="126"/>
      <c r="R148" s="126"/>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c r="AZ148" s="126"/>
      <c r="BA148" s="126"/>
      <c r="BB148" s="126"/>
      <c r="BC148" s="126"/>
      <c r="BD148" s="130">
        <v>1</v>
      </c>
    </row>
    <row r="149" spans="1:56" ht="21" customHeight="1" x14ac:dyDescent="0.25">
      <c r="A149" s="126"/>
      <c r="B149" s="773"/>
      <c r="C149" s="162"/>
      <c r="D149" s="162"/>
      <c r="E149" s="162"/>
      <c r="F149" s="162"/>
      <c r="G149" s="162"/>
      <c r="H149" s="292"/>
      <c r="I149" s="353"/>
      <c r="J149" s="367"/>
      <c r="K149" s="162"/>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c r="AZ149" s="126"/>
      <c r="BA149" s="126"/>
      <c r="BB149" s="126"/>
      <c r="BC149" s="126"/>
      <c r="BD149" s="130">
        <v>1</v>
      </c>
    </row>
    <row r="150" spans="1:56" ht="21" customHeight="1" x14ac:dyDescent="0.25">
      <c r="A150" s="126"/>
      <c r="B150" s="773"/>
      <c r="C150" s="162"/>
      <c r="D150" s="317" t="s">
        <v>1627</v>
      </c>
      <c r="E150" s="318">
        <f>IF(E144=0,0,E147*E148)</f>
        <v>5</v>
      </c>
      <c r="F150" s="319" t="str">
        <f>F144</f>
        <v>❺ Kg cuit</v>
      </c>
      <c r="G150" s="320">
        <f>IF(E144=0,0,G147*E148)</f>
        <v>2.5</v>
      </c>
      <c r="H150" s="321" t="str">
        <f>H147</f>
        <v>❹ Kg cru</v>
      </c>
      <c r="I150" s="353" t="str">
        <f>HYPERLINK("#"&amp;ADDRESS(ROW(E150),COLUMN(E150),4),"◀"&amp;ADDRESS(ROW(E150),COLUMN(E150),4))</f>
        <v>◀E150</v>
      </c>
      <c r="J150" s="318">
        <f>E150</f>
        <v>5</v>
      </c>
      <c r="K150" s="231" t="str">
        <f ca="1">_xlfn.FORMULATEXT(E150)</f>
        <v>=SI(E144=0;0;E147*E148)</v>
      </c>
      <c r="L150" s="126"/>
      <c r="M150" s="380" t="str">
        <f>ADDRESS(ROW(G150),COLUMN(G150),4)</f>
        <v>G150</v>
      </c>
      <c r="N150" s="231" t="str">
        <f ca="1">_xlfn.FORMULATEXT(G150)</f>
        <v>=SI(E144=0;0;G147*E148)</v>
      </c>
      <c r="O150" s="126"/>
      <c r="P150" s="126"/>
      <c r="Q150" s="126"/>
      <c r="R150" s="126"/>
      <c r="S150" s="126"/>
      <c r="T150" s="126"/>
      <c r="U150" s="126"/>
      <c r="V150" s="126"/>
      <c r="W150" s="126"/>
      <c r="X150" s="126"/>
      <c r="Y150" s="126"/>
      <c r="Z150" s="126"/>
      <c r="AA150" s="126"/>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c r="AZ150" s="126"/>
      <c r="BA150" s="126"/>
      <c r="BB150" s="126"/>
      <c r="BC150" s="126"/>
      <c r="BD150" s="130">
        <v>1</v>
      </c>
    </row>
    <row r="151" spans="1:56" ht="21" customHeight="1" x14ac:dyDescent="0.25">
      <c r="A151" s="126"/>
      <c r="B151" s="773"/>
      <c r="C151" s="162"/>
      <c r="D151" s="322" t="s">
        <v>1628</v>
      </c>
      <c r="E151" s="323">
        <f>IF(E144=0,0,IF(MOD(E150,E144)&gt;MOD(E150,E144)/2,INT(E150/E144)+1,INT(E150/E144)))</f>
        <v>5</v>
      </c>
      <c r="F151" s="326" t="s">
        <v>1629</v>
      </c>
      <c r="G151" s="325">
        <f>IF(ISBLANK(E147),0,E144/E147)</f>
        <v>20</v>
      </c>
      <c r="H151" s="292"/>
      <c r="I151" s="353" t="str">
        <f>HYPERLINK("#"&amp;ADDRESS(ROW(E151),COLUMN(E151),4),"◀"&amp;ADDRESS(ROW(E151),COLUMN(E151),4))</f>
        <v>◀E151</v>
      </c>
      <c r="J151" s="323">
        <f>E151</f>
        <v>5</v>
      </c>
      <c r="K151" s="231" t="str">
        <f ca="1">_xlfn.FORMULATEXT(E151)</f>
        <v>=SI(E144=0;0;SI(MOD(E150;E144)&gt;MOD(E150;E144)/2;ENT(E150/E144)+1;ENT(E150/E144)))</v>
      </c>
      <c r="L151" s="126"/>
      <c r="M151" s="126"/>
      <c r="N151" s="126"/>
      <c r="O151" s="126"/>
      <c r="P151" s="126"/>
      <c r="Q151" s="161"/>
      <c r="R151" s="161"/>
      <c r="S151" s="161"/>
      <c r="T151" s="161"/>
      <c r="U151" s="126"/>
      <c r="V151" s="126"/>
      <c r="W151" s="126"/>
      <c r="X151" s="126"/>
      <c r="Y151" s="126"/>
      <c r="Z151" s="126"/>
      <c r="AA151" s="126"/>
      <c r="AB151" s="126"/>
      <c r="AC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c r="AZ151" s="126"/>
      <c r="BA151" s="126"/>
      <c r="BB151" s="126"/>
      <c r="BC151" s="126"/>
      <c r="BD151" s="130">
        <v>1</v>
      </c>
    </row>
    <row r="152" spans="1:56" ht="21" customHeight="1" x14ac:dyDescent="0.25">
      <c r="A152" s="126"/>
      <c r="B152" s="773"/>
      <c r="C152" s="162"/>
      <c r="D152" s="322"/>
      <c r="E152" s="323"/>
      <c r="F152" s="326"/>
      <c r="G152" s="325"/>
      <c r="H152" s="292"/>
      <c r="I152" s="353" t="str">
        <f>HYPERLINK("#"&amp;ADDRESS(ROW(G151),COLUMN(G151),4),"◀"&amp;ADDRESS(ROW(G151),COLUMN(G151),4))</f>
        <v>◀G151</v>
      </c>
      <c r="J152" s="325">
        <f>G151</f>
        <v>20</v>
      </c>
      <c r="K152" s="231" t="str">
        <f ca="1">_xlfn.FORMULATEXT(G151)</f>
        <v>=SI(ESTVIDE(E147);0;E144/E147)</v>
      </c>
      <c r="L152" s="126"/>
      <c r="M152" s="126"/>
      <c r="N152" s="126"/>
      <c r="O152" s="126"/>
      <c r="P152" s="126"/>
      <c r="Q152" s="161"/>
      <c r="R152" s="161"/>
      <c r="S152" s="161"/>
      <c r="T152" s="161"/>
      <c r="U152" s="126"/>
      <c r="V152" s="126"/>
      <c r="W152" s="126"/>
      <c r="X152" s="126"/>
      <c r="Y152" s="126"/>
      <c r="Z152" s="126"/>
      <c r="AA152" s="126"/>
      <c r="AB152" s="126"/>
      <c r="AC152" s="126"/>
      <c r="AD152" s="126"/>
      <c r="AE152" s="126"/>
      <c r="AF152" s="126"/>
      <c r="AG152" s="126"/>
      <c r="AH152" s="126"/>
      <c r="AI152" s="126"/>
      <c r="AJ152" s="126"/>
      <c r="AK152" s="126"/>
      <c r="AL152" s="126"/>
      <c r="AM152" s="126"/>
      <c r="AN152" s="126"/>
      <c r="AO152" s="126"/>
      <c r="AP152" s="126"/>
      <c r="AQ152" s="126"/>
      <c r="AR152" s="126"/>
      <c r="AS152" s="126"/>
      <c r="AT152" s="126"/>
      <c r="AU152" s="126"/>
      <c r="AV152" s="126"/>
      <c r="AW152" s="126"/>
      <c r="AX152" s="126"/>
      <c r="AY152" s="126"/>
      <c r="AZ152" s="126"/>
      <c r="BA152" s="126"/>
      <c r="BB152" s="126"/>
      <c r="BC152" s="126"/>
      <c r="BD152" s="130">
        <v>1</v>
      </c>
    </row>
    <row r="153" spans="1:56" ht="21" customHeight="1" x14ac:dyDescent="0.25">
      <c r="A153" s="126"/>
      <c r="B153" s="773"/>
      <c r="C153" s="768" t="s">
        <v>1630</v>
      </c>
      <c r="D153" s="768"/>
      <c r="E153" s="768"/>
      <c r="F153" s="768"/>
      <c r="G153" s="768"/>
      <c r="H153" s="769"/>
      <c r="I153" s="126"/>
      <c r="J153" s="126"/>
      <c r="K153" s="126"/>
      <c r="L153" s="126"/>
      <c r="M153" s="126"/>
      <c r="N153" s="126"/>
      <c r="O153" s="126"/>
      <c r="P153" s="126"/>
      <c r="Q153" s="161"/>
      <c r="R153" s="161"/>
      <c r="S153" s="161"/>
      <c r="T153" s="161"/>
      <c r="U153" s="126"/>
      <c r="V153" s="126"/>
      <c r="W153" s="126"/>
      <c r="X153" s="126"/>
      <c r="Y153" s="126"/>
      <c r="Z153" s="126"/>
      <c r="AA153" s="126"/>
      <c r="AB153" s="126"/>
      <c r="AC153" s="126"/>
      <c r="AD153" s="126"/>
      <c r="AE153" s="126"/>
      <c r="AF153" s="126"/>
      <c r="AG153" s="126"/>
      <c r="AH153" s="126"/>
      <c r="AI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30">
        <v>1</v>
      </c>
    </row>
    <row r="154" spans="1:56" ht="21" customHeight="1" x14ac:dyDescent="0.25">
      <c r="A154" s="126"/>
      <c r="B154" s="773"/>
      <c r="C154" s="768"/>
      <c r="D154" s="768"/>
      <c r="E154" s="768"/>
      <c r="F154" s="768"/>
      <c r="G154" s="768"/>
      <c r="H154" s="769"/>
      <c r="I154" s="126"/>
      <c r="J154" s="126"/>
      <c r="K154" s="126"/>
      <c r="L154" s="126"/>
      <c r="M154" s="126"/>
      <c r="N154" s="126"/>
      <c r="O154" s="126"/>
      <c r="P154" s="126"/>
      <c r="Q154" s="161"/>
      <c r="R154" s="161"/>
      <c r="S154" s="161"/>
      <c r="T154" s="161"/>
      <c r="U154" s="126"/>
      <c r="V154" s="126"/>
      <c r="W154" s="126"/>
      <c r="X154" s="126"/>
      <c r="Y154" s="126"/>
      <c r="Z154" s="126"/>
      <c r="AA154" s="126"/>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30">
        <v>1</v>
      </c>
    </row>
    <row r="155" spans="1:56" ht="21" customHeight="1" x14ac:dyDescent="0.25">
      <c r="A155" s="126"/>
      <c r="B155" s="773"/>
      <c r="C155" s="327" t="s">
        <v>1631</v>
      </c>
      <c r="D155" s="328"/>
      <c r="E155" s="328"/>
      <c r="F155" s="328"/>
      <c r="G155" s="328"/>
      <c r="H155" s="329"/>
      <c r="I155" s="126"/>
      <c r="J155" s="126"/>
      <c r="K155" s="126"/>
      <c r="L155" s="126"/>
      <c r="M155" s="126"/>
      <c r="N155" s="126"/>
      <c r="O155" s="126"/>
      <c r="P155" s="126"/>
      <c r="Q155" s="161"/>
      <c r="R155" s="161"/>
      <c r="S155" s="161"/>
      <c r="T155" s="161"/>
      <c r="U155" s="126"/>
      <c r="V155" s="126"/>
      <c r="W155" s="126"/>
      <c r="X155" s="126"/>
      <c r="Y155" s="126"/>
      <c r="Z155" s="126"/>
      <c r="AA155" s="126"/>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30">
        <v>1</v>
      </c>
    </row>
    <row r="156" spans="1:56" ht="21" customHeight="1" x14ac:dyDescent="0.25">
      <c r="A156" s="126"/>
      <c r="B156" s="773"/>
      <c r="C156" s="777" t="s">
        <v>1632</v>
      </c>
      <c r="D156" s="777"/>
      <c r="E156" s="777"/>
      <c r="F156" s="777"/>
      <c r="G156" s="777"/>
      <c r="H156" s="778"/>
      <c r="I156" s="126"/>
      <c r="J156" s="126"/>
      <c r="K156" s="126"/>
      <c r="L156" s="126"/>
      <c r="M156" s="126"/>
      <c r="N156" s="126"/>
      <c r="O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30">
        <v>1</v>
      </c>
    </row>
    <row r="157" spans="1:56" ht="21" customHeight="1" x14ac:dyDescent="0.25">
      <c r="A157" s="126"/>
      <c r="B157" s="773"/>
      <c r="C157" s="330" t="s">
        <v>1633</v>
      </c>
      <c r="D157" s="162"/>
      <c r="E157" s="162"/>
      <c r="F157" s="334" t="s">
        <v>1637</v>
      </c>
      <c r="G157" s="162"/>
      <c r="H157" s="292"/>
      <c r="I157" s="126"/>
      <c r="J157" s="126"/>
      <c r="K157" s="126"/>
      <c r="L157" s="126"/>
      <c r="M157" s="126"/>
      <c r="N157" s="126"/>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30">
        <v>1</v>
      </c>
    </row>
    <row r="158" spans="1:56" ht="21" customHeight="1" x14ac:dyDescent="0.25">
      <c r="A158" s="126"/>
      <c r="B158" s="773"/>
      <c r="C158" s="331" t="s">
        <v>1620</v>
      </c>
      <c r="D158" s="162"/>
      <c r="E158" s="162"/>
      <c r="F158" s="335" t="s">
        <v>1638</v>
      </c>
      <c r="G158" s="162"/>
      <c r="H158" s="292"/>
      <c r="I158" s="126"/>
      <c r="J158" s="126"/>
      <c r="K158" s="126"/>
      <c r="L158" s="126"/>
      <c r="M158" s="126"/>
      <c r="N158" s="126"/>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30">
        <v>1</v>
      </c>
    </row>
    <row r="159" spans="1:56" ht="21" customHeight="1" x14ac:dyDescent="0.25">
      <c r="A159" s="126"/>
      <c r="B159" s="773"/>
      <c r="C159" s="333" t="s">
        <v>1636</v>
      </c>
      <c r="D159" s="162"/>
      <c r="E159" s="162"/>
      <c r="F159" s="338" t="s">
        <v>1639</v>
      </c>
      <c r="G159" s="162"/>
      <c r="H159" s="292"/>
      <c r="I159" s="126"/>
      <c r="J159" s="126"/>
      <c r="K159" s="126"/>
      <c r="L159" s="126"/>
      <c r="M159" s="126"/>
      <c r="N159" s="126"/>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30">
        <v>1</v>
      </c>
    </row>
    <row r="160" spans="1:56" ht="21" customHeight="1" x14ac:dyDescent="0.25">
      <c r="A160" s="126"/>
      <c r="B160" s="773"/>
      <c r="C160" s="266"/>
      <c r="D160" s="303" t="s">
        <v>1611</v>
      </c>
      <c r="E160" s="162"/>
      <c r="F160" s="335"/>
      <c r="G160" s="162"/>
      <c r="H160" s="292"/>
      <c r="I160" s="126"/>
      <c r="J160" s="126"/>
      <c r="K160" s="126"/>
      <c r="L160" s="126"/>
      <c r="M160" s="126"/>
      <c r="N160" s="126"/>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30">
        <v>1</v>
      </c>
    </row>
    <row r="161" spans="1:56" ht="21" customHeight="1" x14ac:dyDescent="0.25">
      <c r="A161" s="126"/>
      <c r="B161" s="773"/>
      <c r="C161" s="268"/>
      <c r="D161" s="337" t="s">
        <v>1613</v>
      </c>
      <c r="E161" s="162"/>
      <c r="F161" s="338"/>
      <c r="G161" s="162"/>
      <c r="H161" s="292"/>
      <c r="I161" s="126"/>
      <c r="J161" s="126"/>
      <c r="K161" s="126"/>
      <c r="L161" s="126"/>
      <c r="M161" s="126"/>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30">
        <v>1</v>
      </c>
    </row>
    <row r="162" spans="1:56" ht="21" customHeight="1" x14ac:dyDescent="0.25">
      <c r="A162" s="126"/>
      <c r="B162" s="773"/>
      <c r="C162" s="339"/>
      <c r="D162" s="162"/>
      <c r="E162" s="340" t="s">
        <v>1640</v>
      </c>
      <c r="F162" s="338"/>
      <c r="G162" s="339" t="s">
        <v>1641</v>
      </c>
      <c r="H162" s="341" t="str">
        <f>ADDRESS(ROW(F144),COLUMN(F144),4)</f>
        <v>F144</v>
      </c>
      <c r="I162" s="126"/>
      <c r="J162" s="126"/>
      <c r="K162" s="126"/>
      <c r="L162" s="126"/>
      <c r="M162" s="126"/>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6"/>
      <c r="AN162" s="126"/>
      <c r="AO162" s="126"/>
      <c r="AP162" s="126"/>
      <c r="AQ162" s="126"/>
      <c r="AR162" s="126"/>
      <c r="AS162" s="126"/>
      <c r="AT162" s="126"/>
      <c r="AU162" s="126"/>
      <c r="AV162" s="126"/>
      <c r="AW162" s="126"/>
      <c r="AX162" s="126"/>
      <c r="AY162" s="126"/>
      <c r="AZ162" s="126"/>
      <c r="BA162" s="126"/>
      <c r="BB162" s="126"/>
      <c r="BC162" s="126"/>
      <c r="BD162" s="130">
        <v>1</v>
      </c>
    </row>
    <row r="163" spans="1:56" ht="21" customHeight="1" x14ac:dyDescent="0.25">
      <c r="A163" s="126"/>
      <c r="B163" s="773"/>
      <c r="C163" s="195" t="s">
        <v>1650</v>
      </c>
      <c r="D163" s="342"/>
      <c r="E163" s="340"/>
      <c r="F163" s="195" t="s">
        <v>1651</v>
      </c>
      <c r="G163" s="162"/>
      <c r="H163" s="292"/>
      <c r="I163" s="126"/>
      <c r="J163" s="126"/>
      <c r="K163" s="126"/>
      <c r="L163" s="126"/>
      <c r="M163" s="126"/>
      <c r="N163" s="126"/>
      <c r="O163" s="126"/>
      <c r="P163" s="126"/>
      <c r="Q163" s="126"/>
      <c r="R163" s="126"/>
      <c r="S163" s="126"/>
      <c r="T163" s="126"/>
      <c r="U163" s="126"/>
      <c r="V163" s="126"/>
      <c r="W163" s="126"/>
      <c r="X163" s="126"/>
      <c r="Y163" s="126"/>
      <c r="Z163" s="126"/>
      <c r="AA163" s="126"/>
      <c r="AB163" s="126"/>
      <c r="AC163" s="126"/>
      <c r="AD163" s="126"/>
      <c r="AE163" s="126"/>
      <c r="AF163" s="126"/>
      <c r="AG163" s="126"/>
      <c r="AH163" s="126"/>
      <c r="AI163" s="126"/>
      <c r="AJ163" s="126"/>
      <c r="AK163" s="126"/>
      <c r="AL163" s="126"/>
      <c r="AM163" s="126"/>
      <c r="AN163" s="126"/>
      <c r="AO163" s="126"/>
      <c r="AP163" s="126"/>
      <c r="AQ163" s="126"/>
      <c r="AR163" s="126"/>
      <c r="AS163" s="126"/>
      <c r="AT163" s="126"/>
      <c r="AU163" s="126"/>
      <c r="AV163" s="126"/>
      <c r="AW163" s="126"/>
      <c r="AX163" s="126"/>
      <c r="AY163" s="126"/>
      <c r="AZ163" s="126"/>
      <c r="BA163" s="126"/>
      <c r="BB163" s="126"/>
      <c r="BC163" s="126"/>
      <c r="BD163" s="130">
        <v>1</v>
      </c>
    </row>
    <row r="164" spans="1:56" ht="21" customHeight="1" x14ac:dyDescent="0.25">
      <c r="A164" s="126"/>
      <c r="B164" s="773"/>
      <c r="C164" s="198">
        <v>12</v>
      </c>
      <c r="D164" s="198">
        <v>11</v>
      </c>
      <c r="E164" s="198">
        <v>11</v>
      </c>
      <c r="F164" s="198">
        <v>11</v>
      </c>
      <c r="G164" s="198">
        <v>11</v>
      </c>
      <c r="H164" s="199">
        <v>11</v>
      </c>
      <c r="I164" s="200" t="s">
        <v>1543</v>
      </c>
      <c r="J164" s="126"/>
      <c r="K164" s="126"/>
      <c r="L164" s="126"/>
      <c r="M164" s="126"/>
      <c r="N164" s="126"/>
      <c r="O164" s="126"/>
      <c r="P164" s="126"/>
      <c r="Q164" s="126"/>
      <c r="R164" s="126"/>
      <c r="S164" s="126"/>
      <c r="T164" s="126"/>
      <c r="U164" s="126"/>
      <c r="V164" s="126"/>
      <c r="W164" s="126"/>
      <c r="X164" s="126"/>
      <c r="Y164" s="126"/>
      <c r="Z164" s="126"/>
      <c r="AA164" s="126"/>
      <c r="AB164" s="126"/>
      <c r="AC164" s="126"/>
      <c r="AD164" s="126"/>
      <c r="AE164" s="126"/>
      <c r="AF164" s="126"/>
      <c r="AG164" s="126"/>
      <c r="AH164" s="126"/>
      <c r="AI164" s="126"/>
      <c r="AJ164" s="126"/>
      <c r="AK164" s="126"/>
      <c r="AL164" s="126"/>
      <c r="AM164" s="126"/>
      <c r="AN164" s="126"/>
      <c r="AO164" s="126"/>
      <c r="AP164" s="126"/>
      <c r="AQ164" s="126"/>
      <c r="AR164" s="126"/>
      <c r="AS164" s="126"/>
      <c r="AT164" s="126"/>
      <c r="AU164" s="126"/>
      <c r="AV164" s="126"/>
      <c r="AW164" s="126"/>
      <c r="AX164" s="126"/>
      <c r="AY164" s="126"/>
      <c r="AZ164" s="126"/>
      <c r="BA164" s="126"/>
      <c r="BB164" s="126"/>
      <c r="BC164" s="126"/>
      <c r="BD164" s="130">
        <v>1</v>
      </c>
    </row>
    <row r="165" spans="1:56" ht="21" customHeight="1" thickBot="1" x14ac:dyDescent="0.3">
      <c r="A165" s="126"/>
      <c r="B165" s="774"/>
      <c r="C165" s="205">
        <f ca="1">CELL("largeur",C165)</f>
        <v>11</v>
      </c>
      <c r="D165" s="205">
        <f t="shared" ref="D165:H165" ca="1" si="9">CELL("largeur",D165)</f>
        <v>18</v>
      </c>
      <c r="E165" s="205">
        <f t="shared" ca="1" si="9"/>
        <v>11</v>
      </c>
      <c r="F165" s="205">
        <f t="shared" ca="1" si="9"/>
        <v>11</v>
      </c>
      <c r="G165" s="205">
        <f t="shared" ca="1" si="9"/>
        <v>11</v>
      </c>
      <c r="H165" s="206">
        <f t="shared" ca="1" si="9"/>
        <v>11</v>
      </c>
      <c r="I165" s="200" t="s">
        <v>1546</v>
      </c>
      <c r="J165" s="126"/>
      <c r="K165" s="126"/>
      <c r="L165" s="126"/>
      <c r="M165" s="126"/>
      <c r="N165" s="126"/>
      <c r="O165" s="126"/>
      <c r="P165" s="126"/>
      <c r="Q165" s="126"/>
      <c r="R165" s="126"/>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26"/>
      <c r="AS165" s="126"/>
      <c r="AT165" s="126"/>
      <c r="AU165" s="126"/>
      <c r="AV165" s="126"/>
      <c r="AW165" s="126"/>
      <c r="AX165" s="126"/>
      <c r="AY165" s="126"/>
      <c r="AZ165" s="126"/>
      <c r="BA165" s="126"/>
      <c r="BB165" s="126"/>
      <c r="BC165" s="126"/>
      <c r="BD165" s="130">
        <v>1</v>
      </c>
    </row>
    <row r="166" spans="1:56" ht="21" customHeight="1" thickBot="1" x14ac:dyDescent="0.3">
      <c r="A166" s="126"/>
      <c r="B166" s="126"/>
      <c r="C166" s="126"/>
      <c r="D166" s="126"/>
      <c r="E166" s="126"/>
      <c r="F166" s="126"/>
      <c r="G166" s="126"/>
      <c r="H166" s="126"/>
      <c r="I166" s="126"/>
      <c r="J166" s="126"/>
      <c r="K166" s="126"/>
      <c r="L166" s="126"/>
      <c r="M166" s="126"/>
      <c r="N166" s="126"/>
      <c r="O166" s="126"/>
      <c r="P166" s="126"/>
      <c r="Q166" s="126"/>
      <c r="R166" s="126"/>
      <c r="S166" s="126"/>
      <c r="T166" s="126"/>
      <c r="U166" s="126"/>
      <c r="V166" s="126"/>
      <c r="W166" s="126"/>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30">
        <v>1</v>
      </c>
    </row>
    <row r="167" spans="1:56" ht="21" customHeight="1" x14ac:dyDescent="0.25">
      <c r="A167" s="126"/>
      <c r="B167" s="730" t="s">
        <v>1505</v>
      </c>
      <c r="C167" s="761" t="s">
        <v>1615</v>
      </c>
      <c r="D167" s="761"/>
      <c r="E167" s="761"/>
      <c r="F167" s="761"/>
      <c r="G167" s="381"/>
      <c r="H167" s="382" t="str">
        <f>F175</f>
        <v>Morceaux</v>
      </c>
      <c r="I167" s="126"/>
      <c r="J167" s="126"/>
      <c r="K167" s="126"/>
      <c r="L167" s="126"/>
      <c r="M167" s="126"/>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126"/>
      <c r="AW167" s="126"/>
      <c r="AX167" s="126"/>
      <c r="AY167" s="126"/>
      <c r="AZ167" s="126"/>
      <c r="BA167" s="126"/>
      <c r="BB167" s="126"/>
      <c r="BC167" s="126"/>
      <c r="BD167" s="130">
        <v>1</v>
      </c>
    </row>
    <row r="168" spans="1:56" ht="21" customHeight="1" x14ac:dyDescent="0.25">
      <c r="A168" s="126"/>
      <c r="B168" s="731"/>
      <c r="C168" s="383"/>
      <c r="D168" s="383"/>
      <c r="E168" s="384"/>
      <c r="F168" s="385" t="s">
        <v>1616</v>
      </c>
      <c r="G168" s="386" t="str">
        <f>G177</f>
        <v>❹ Cru</v>
      </c>
      <c r="H168" s="387"/>
      <c r="I168" s="126"/>
      <c r="J168" s="126"/>
      <c r="K168" s="126"/>
      <c r="L168" s="126"/>
      <c r="M168" s="126"/>
      <c r="N168" s="126"/>
      <c r="O168" s="126"/>
      <c r="P168" s="126"/>
      <c r="Q168" s="126"/>
      <c r="R168" s="126"/>
      <c r="S168" s="126"/>
      <c r="T168" s="126"/>
      <c r="U168" s="126"/>
      <c r="V168" s="126"/>
      <c r="W168" s="126"/>
      <c r="X168" s="126"/>
      <c r="Y168" s="126"/>
      <c r="Z168" s="126"/>
      <c r="AA168" s="126"/>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126"/>
      <c r="AW168" s="126"/>
      <c r="AX168" s="126"/>
      <c r="AY168" s="126"/>
      <c r="AZ168" s="126"/>
      <c r="BA168" s="126"/>
      <c r="BB168" s="126"/>
      <c r="BC168" s="126"/>
      <c r="BD168" s="130">
        <v>1</v>
      </c>
    </row>
    <row r="169" spans="1:56" ht="21" customHeight="1" x14ac:dyDescent="0.25">
      <c r="A169" s="126"/>
      <c r="B169" s="782">
        <v>3</v>
      </c>
      <c r="C169" s="764" t="str">
        <f>D173</f>
        <v>Sautés en morceaux service au poids</v>
      </c>
      <c r="D169" s="764"/>
      <c r="E169" s="764"/>
      <c r="F169" s="764"/>
      <c r="G169" s="764"/>
      <c r="H169" s="765"/>
      <c r="I169" s="126"/>
      <c r="J169" s="126"/>
      <c r="K169" s="126"/>
      <c r="L169" s="126"/>
      <c r="M169" s="126"/>
      <c r="N169" s="126"/>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c r="AL169" s="126"/>
      <c r="AM169" s="126"/>
      <c r="AN169" s="126"/>
      <c r="AO169" s="126"/>
      <c r="AP169" s="126"/>
      <c r="AQ169" s="126"/>
      <c r="AR169" s="126"/>
      <c r="AS169" s="126"/>
      <c r="AT169" s="126"/>
      <c r="AU169" s="126"/>
      <c r="AV169" s="126"/>
      <c r="AW169" s="126"/>
      <c r="AX169" s="126"/>
      <c r="AY169" s="126"/>
      <c r="AZ169" s="126"/>
      <c r="BA169" s="126"/>
      <c r="BB169" s="126"/>
      <c r="BC169" s="126"/>
      <c r="BD169" s="130">
        <v>1</v>
      </c>
    </row>
    <row r="170" spans="1:56" ht="21" customHeight="1" x14ac:dyDescent="0.25">
      <c r="A170" s="126"/>
      <c r="B170" s="782"/>
      <c r="C170" s="388"/>
      <c r="D170" s="389" t="s">
        <v>1617</v>
      </c>
      <c r="E170" s="390">
        <f>IF(E177=0,0,IF(MOD(E184,E177)&gt;MOD(E184,E177)/2,INT(E184/E177)+1,INT(E184/E177)))</f>
        <v>86</v>
      </c>
      <c r="F170" s="391" t="str">
        <f>F174</f>
        <v xml:space="preserve"> GN 1/ 1 = 35 morceaux</v>
      </c>
      <c r="G170" s="392"/>
      <c r="H170" s="393"/>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126"/>
      <c r="BA170" s="126"/>
      <c r="BB170" s="126"/>
      <c r="BC170" s="126"/>
      <c r="BD170" s="130">
        <v>1</v>
      </c>
    </row>
    <row r="171" spans="1:56" ht="21" customHeight="1" x14ac:dyDescent="0.25">
      <c r="A171" s="126"/>
      <c r="B171" s="782"/>
      <c r="C171" s="394">
        <f>INT(E184/E177)</f>
        <v>85</v>
      </c>
      <c r="D171" s="395">
        <f>IF(C171=0,0,IF(E170=0,0,E177))</f>
        <v>21</v>
      </c>
      <c r="E171" s="396" t="str">
        <f>F177</f>
        <v>Morceaux</v>
      </c>
      <c r="F171" s="394" t="str">
        <f>IF(D171*C171=0,"1 de",IF(E184=0,0,IF(E177=0,0,IF(D171*C171=E184,"",IF(G171&gt;0,"Plus 1 de")))))</f>
        <v>Plus 1 de</v>
      </c>
      <c r="G171" s="390">
        <f>IF(E177=0,0,IF(D171*C171=E184,"",MOD(E184,E177)))</f>
        <v>15</v>
      </c>
      <c r="H171" s="397" t="str">
        <f>E171</f>
        <v>Morceaux</v>
      </c>
      <c r="I171" s="126"/>
      <c r="J171" s="126"/>
      <c r="K171" s="126"/>
      <c r="L171" s="126"/>
      <c r="M171" s="126"/>
      <c r="N171" s="126"/>
      <c r="O171" s="126"/>
      <c r="P171" s="126"/>
      <c r="Q171" s="126"/>
      <c r="R171" s="126"/>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6"/>
      <c r="AP171" s="126"/>
      <c r="AQ171" s="126"/>
      <c r="AR171" s="126"/>
      <c r="AS171" s="126"/>
      <c r="AT171" s="126"/>
      <c r="AU171" s="126"/>
      <c r="AV171" s="126"/>
      <c r="AW171" s="126"/>
      <c r="AX171" s="126"/>
      <c r="AY171" s="126"/>
      <c r="AZ171" s="126"/>
      <c r="BA171" s="126"/>
      <c r="BB171" s="126"/>
      <c r="BC171" s="126"/>
      <c r="BD171" s="130">
        <v>1</v>
      </c>
    </row>
    <row r="172" spans="1:56" ht="21" customHeight="1" x14ac:dyDescent="0.25">
      <c r="A172" s="126"/>
      <c r="B172" s="782"/>
      <c r="C172" s="398" t="str">
        <f>F184</f>
        <v>Morceaux</v>
      </c>
      <c r="D172" s="399">
        <f>E184</f>
        <v>1800</v>
      </c>
      <c r="E172" s="400" t="str">
        <f>H182</f>
        <v>❹ Cru</v>
      </c>
      <c r="F172" s="401">
        <f>E185</f>
        <v>86.4</v>
      </c>
      <c r="G172" s="400" t="str">
        <f>H183</f>
        <v>❺ Cuit</v>
      </c>
      <c r="H172" s="402">
        <f>E186</f>
        <v>43.2</v>
      </c>
      <c r="I172" s="126"/>
      <c r="J172" s="126"/>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30">
        <v>1</v>
      </c>
    </row>
    <row r="173" spans="1:56" ht="21" customHeight="1" x14ac:dyDescent="0.25">
      <c r="A173" s="126"/>
      <c r="B173" s="782"/>
      <c r="C173" s="289" t="s">
        <v>1618</v>
      </c>
      <c r="D173" s="290" t="s">
        <v>1619</v>
      </c>
      <c r="E173" s="291"/>
      <c r="F173" s="162"/>
      <c r="G173" s="162"/>
      <c r="H173" s="292"/>
      <c r="I173" s="126"/>
      <c r="J173" s="126"/>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30">
        <v>1</v>
      </c>
    </row>
    <row r="174" spans="1:56" ht="21" customHeight="1" x14ac:dyDescent="0.25">
      <c r="A174" s="126"/>
      <c r="B174" s="782"/>
      <c r="C174" s="162"/>
      <c r="D174" s="162"/>
      <c r="E174" s="294" t="s">
        <v>1620</v>
      </c>
      <c r="F174" s="403" t="s">
        <v>1652</v>
      </c>
      <c r="G174" s="403"/>
      <c r="H174" s="404"/>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30">
        <v>1</v>
      </c>
    </row>
    <row r="175" spans="1:56" ht="21" customHeight="1" x14ac:dyDescent="0.25">
      <c r="A175" s="126"/>
      <c r="B175" s="782"/>
      <c r="C175" s="162"/>
      <c r="D175" s="162"/>
      <c r="E175" s="405" t="s">
        <v>1653</v>
      </c>
      <c r="F175" s="406" t="s">
        <v>1654</v>
      </c>
      <c r="G175" s="407" t="s">
        <v>1655</v>
      </c>
      <c r="H175" s="408"/>
      <c r="I175" s="126"/>
      <c r="J175" s="126"/>
      <c r="K175" s="126"/>
      <c r="L175" s="126"/>
      <c r="M175" s="126"/>
      <c r="N175" s="126"/>
      <c r="O175" s="126"/>
      <c r="P175" s="126"/>
      <c r="Q175" s="126"/>
      <c r="R175" s="126"/>
      <c r="S175" s="126"/>
      <c r="T175" s="126"/>
      <c r="U175" s="126"/>
      <c r="V175" s="126"/>
      <c r="W175" s="126"/>
      <c r="X175" s="126"/>
      <c r="Y175" s="126"/>
      <c r="Z175" s="126"/>
      <c r="AA175" s="126"/>
      <c r="AB175" s="126"/>
      <c r="AC175" s="126"/>
      <c r="AD175" s="126"/>
      <c r="AE175" s="126"/>
      <c r="AF175" s="126"/>
      <c r="AG175" s="126"/>
      <c r="AH175" s="126"/>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30">
        <v>1</v>
      </c>
    </row>
    <row r="176" spans="1:56" ht="21" customHeight="1" x14ac:dyDescent="0.25">
      <c r="A176" s="126"/>
      <c r="B176" s="782"/>
      <c r="C176" s="162"/>
      <c r="D176" s="296"/>
      <c r="E176" s="297"/>
      <c r="F176" s="298"/>
      <c r="G176" s="298" t="s">
        <v>1622</v>
      </c>
      <c r="H176" s="292"/>
      <c r="I176" s="126"/>
      <c r="J176" s="126"/>
      <c r="K176" s="126"/>
      <c r="L176" s="126"/>
      <c r="M176" s="126"/>
      <c r="N176" s="126"/>
      <c r="O176" s="126"/>
      <c r="P176" s="126"/>
      <c r="Q176" s="126"/>
      <c r="R176" s="126"/>
      <c r="S176" s="126"/>
      <c r="T176" s="126"/>
      <c r="U176" s="126"/>
      <c r="V176" s="126"/>
      <c r="W176" s="126"/>
      <c r="X176" s="126"/>
      <c r="Y176" s="126"/>
      <c r="Z176" s="126"/>
      <c r="AA176" s="126"/>
      <c r="AB176" s="126"/>
      <c r="AC176" s="126"/>
      <c r="AD176" s="126"/>
      <c r="AE176" s="126"/>
      <c r="AF176" s="126"/>
      <c r="AG176" s="126"/>
      <c r="AH176" s="126"/>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30">
        <v>1</v>
      </c>
    </row>
    <row r="177" spans="1:56" ht="21" customHeight="1" x14ac:dyDescent="0.25">
      <c r="A177" s="126"/>
      <c r="B177" s="782"/>
      <c r="C177" s="300"/>
      <c r="D177" s="301" t="s">
        <v>1623</v>
      </c>
      <c r="E177" s="409">
        <v>21</v>
      </c>
      <c r="F177" s="224" t="str">
        <f>F175</f>
        <v>Morceaux</v>
      </c>
      <c r="G177" s="303" t="s">
        <v>1656</v>
      </c>
      <c r="H177" s="410"/>
      <c r="I177" s="126"/>
      <c r="J177" s="126"/>
      <c r="K177" s="126"/>
      <c r="L177" s="126"/>
      <c r="M177" s="126"/>
      <c r="N177" s="126"/>
      <c r="O177" s="126"/>
      <c r="P177" s="126"/>
      <c r="Q177" s="126"/>
      <c r="R177" s="126"/>
      <c r="S177" s="126"/>
      <c r="T177" s="126"/>
      <c r="U177" s="126"/>
      <c r="V177" s="126"/>
      <c r="W177" s="126"/>
      <c r="X177" s="126"/>
      <c r="Y177" s="126"/>
      <c r="Z177" s="126"/>
      <c r="AA177" s="126"/>
      <c r="AB177" s="126"/>
      <c r="AC177" s="126"/>
      <c r="AD177" s="126"/>
      <c r="AE177" s="126"/>
      <c r="AF177" s="126"/>
      <c r="AG177" s="126"/>
      <c r="AH177" s="126"/>
      <c r="AI177" s="126"/>
      <c r="AJ177" s="126"/>
      <c r="AK177" s="126"/>
      <c r="AL177" s="126"/>
      <c r="AM177" s="126"/>
      <c r="AN177" s="126"/>
      <c r="AO177" s="126"/>
      <c r="AP177" s="126"/>
      <c r="AQ177" s="126"/>
      <c r="AR177" s="126"/>
      <c r="AS177" s="126"/>
      <c r="AT177" s="126"/>
      <c r="AU177" s="126"/>
      <c r="AV177" s="126"/>
      <c r="AW177" s="126"/>
      <c r="AX177" s="126"/>
      <c r="AY177" s="126"/>
      <c r="AZ177" s="126"/>
      <c r="BA177" s="126"/>
      <c r="BB177" s="126"/>
      <c r="BC177" s="126"/>
      <c r="BD177" s="130">
        <v>1</v>
      </c>
    </row>
    <row r="178" spans="1:56" ht="21" customHeight="1" x14ac:dyDescent="0.25">
      <c r="A178" s="126"/>
      <c r="B178" s="782"/>
      <c r="C178" s="300"/>
      <c r="D178" s="411" t="s">
        <v>1657</v>
      </c>
      <c r="E178" s="310">
        <v>4.8000000000000001E-2</v>
      </c>
      <c r="F178" s="412" t="str">
        <f>G177</f>
        <v>❹ Cru</v>
      </c>
      <c r="G178" s="267">
        <f>IF(F178=E196,E178-(E178*E179%),IF(F178=E197,E178/(100-E179)*100))</f>
        <v>2.4E-2</v>
      </c>
      <c r="H178" s="312" t="str">
        <f>IF(F178=E196,E197,E196)</f>
        <v>❺ Cuit</v>
      </c>
      <c r="I178" s="126"/>
      <c r="J178" s="126"/>
      <c r="K178" s="126"/>
      <c r="L178" s="126"/>
      <c r="M178" s="126"/>
      <c r="N178" s="126"/>
      <c r="O178" s="126"/>
      <c r="P178" s="126"/>
      <c r="Q178" s="126"/>
      <c r="R178" s="126"/>
      <c r="S178" s="126"/>
      <c r="T178" s="126"/>
      <c r="U178" s="126"/>
      <c r="V178" s="126"/>
      <c r="W178" s="126"/>
      <c r="X178" s="126"/>
      <c r="Y178" s="126"/>
      <c r="Z178" s="126"/>
      <c r="AA178" s="126"/>
      <c r="AB178" s="126"/>
      <c r="AC178" s="126"/>
      <c r="AD178" s="126"/>
      <c r="AE178" s="126"/>
      <c r="AF178" s="126"/>
      <c r="AG178" s="126"/>
      <c r="AH178" s="126"/>
      <c r="AI178" s="126"/>
      <c r="AJ178" s="126"/>
      <c r="AK178" s="126"/>
      <c r="AL178" s="126"/>
      <c r="AM178" s="126"/>
      <c r="AN178" s="126"/>
      <c r="AO178" s="126"/>
      <c r="AP178" s="126"/>
      <c r="AQ178" s="126"/>
      <c r="AR178" s="126"/>
      <c r="AS178" s="126"/>
      <c r="AT178" s="126"/>
      <c r="AU178" s="126"/>
      <c r="AV178" s="126"/>
      <c r="AW178" s="126"/>
      <c r="AX178" s="126"/>
      <c r="AY178" s="126"/>
      <c r="AZ178" s="126"/>
      <c r="BA178" s="126"/>
      <c r="BB178" s="126"/>
      <c r="BC178" s="126"/>
      <c r="BD178" s="130">
        <v>1</v>
      </c>
    </row>
    <row r="179" spans="1:56" ht="21" customHeight="1" x14ac:dyDescent="0.25">
      <c r="A179" s="126"/>
      <c r="B179" s="782"/>
      <c r="C179" s="162"/>
      <c r="D179" s="413" t="str">
        <f>IF(G177=E197,"❻ % de BONI &gt;",IF(G177=E196,"❻ %  de PERTE &gt;",IF(ISBLANK(E179),0)))</f>
        <v>❻ %  de PERTE &gt;</v>
      </c>
      <c r="E179" s="307">
        <v>50</v>
      </c>
      <c r="F179" s="133"/>
      <c r="G179" s="304"/>
      <c r="H179" s="305"/>
      <c r="I179" s="126"/>
      <c r="J179" s="126"/>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6"/>
      <c r="AN179" s="126"/>
      <c r="AO179" s="126"/>
      <c r="AP179" s="126"/>
      <c r="AQ179" s="126"/>
      <c r="AR179" s="126"/>
      <c r="AS179" s="126"/>
      <c r="AT179" s="126"/>
      <c r="AU179" s="126"/>
      <c r="AV179" s="126"/>
      <c r="AW179" s="126"/>
      <c r="AX179" s="126"/>
      <c r="AY179" s="126"/>
      <c r="AZ179" s="126"/>
      <c r="BA179" s="126"/>
      <c r="BB179" s="126"/>
      <c r="BC179" s="126"/>
      <c r="BD179" s="130">
        <v>1</v>
      </c>
    </row>
    <row r="180" spans="1:56" ht="21" customHeight="1" x14ac:dyDescent="0.25">
      <c r="A180" s="126"/>
      <c r="B180" s="782"/>
      <c r="C180" s="162"/>
      <c r="D180" s="129"/>
      <c r="E180" s="129"/>
      <c r="F180" s="129"/>
      <c r="G180" s="129"/>
      <c r="H180" s="229"/>
      <c r="I180" s="126"/>
      <c r="J180" s="126"/>
      <c r="K180" s="126"/>
      <c r="L180" s="126"/>
      <c r="M180" s="126"/>
      <c r="N180" s="126"/>
      <c r="O180" s="126"/>
      <c r="P180" s="126"/>
      <c r="Q180" s="126"/>
      <c r="R180" s="126"/>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6"/>
      <c r="AP180" s="126"/>
      <c r="AQ180" s="126"/>
      <c r="AR180" s="126"/>
      <c r="AS180" s="126"/>
      <c r="AT180" s="126"/>
      <c r="AU180" s="126"/>
      <c r="AV180" s="126"/>
      <c r="AW180" s="126"/>
      <c r="AX180" s="126"/>
      <c r="AY180" s="126"/>
      <c r="AZ180" s="126"/>
      <c r="BA180" s="126"/>
      <c r="BB180" s="126"/>
      <c r="BC180" s="126"/>
      <c r="BD180" s="130">
        <v>1</v>
      </c>
    </row>
    <row r="181" spans="1:56" ht="21" customHeight="1" x14ac:dyDescent="0.25">
      <c r="A181" s="126"/>
      <c r="B181" s="782"/>
      <c r="C181" s="162"/>
      <c r="D181" s="414" t="s">
        <v>1625</v>
      </c>
      <c r="E181" s="415">
        <v>1200</v>
      </c>
      <c r="F181" s="416" t="s">
        <v>1626</v>
      </c>
      <c r="G181" s="162"/>
      <c r="H181" s="316"/>
      <c r="I181" s="126"/>
      <c r="J181" s="126"/>
      <c r="K181" s="126"/>
      <c r="L181" s="126"/>
      <c r="M181" s="126"/>
      <c r="N181" s="126"/>
      <c r="O181" s="126"/>
      <c r="P181" s="126"/>
      <c r="Q181" s="126"/>
      <c r="R181" s="126"/>
      <c r="S181" s="126"/>
      <c r="T181" s="126"/>
      <c r="U181" s="126"/>
      <c r="V181" s="126"/>
      <c r="W181" s="126"/>
      <c r="X181" s="126"/>
      <c r="Y181" s="126"/>
      <c r="Z181" s="126"/>
      <c r="AA181" s="126"/>
      <c r="AB181" s="126"/>
      <c r="AC181" s="126"/>
      <c r="AD181" s="126"/>
      <c r="AE181" s="126"/>
      <c r="AF181" s="126"/>
      <c r="AG181" s="126"/>
      <c r="AH181" s="126"/>
      <c r="AI181" s="126"/>
      <c r="AJ181" s="126"/>
      <c r="AK181" s="126"/>
      <c r="AL181" s="126"/>
      <c r="AM181" s="126"/>
      <c r="AN181" s="126"/>
      <c r="AO181" s="126"/>
      <c r="AP181" s="126"/>
      <c r="AQ181" s="126"/>
      <c r="AR181" s="126"/>
      <c r="AS181" s="126"/>
      <c r="AT181" s="126"/>
      <c r="AU181" s="126"/>
      <c r="AV181" s="126"/>
      <c r="AW181" s="126"/>
      <c r="AX181" s="126"/>
      <c r="AY181" s="126"/>
      <c r="AZ181" s="126"/>
      <c r="BA181" s="126"/>
      <c r="BB181" s="126"/>
      <c r="BC181" s="126"/>
      <c r="BD181" s="130">
        <v>1</v>
      </c>
    </row>
    <row r="182" spans="1:56" ht="21" customHeight="1" x14ac:dyDescent="0.25">
      <c r="A182" s="126"/>
      <c r="B182" s="782"/>
      <c r="C182" s="162"/>
      <c r="D182" s="309" t="s">
        <v>1658</v>
      </c>
      <c r="E182" s="417">
        <v>1.5</v>
      </c>
      <c r="F182" s="133" t="str">
        <f>F175</f>
        <v>Morceaux</v>
      </c>
      <c r="G182" s="418">
        <f>E178*E182</f>
        <v>7.2000000000000008E-2</v>
      </c>
      <c r="H182" s="312" t="str">
        <f>F178</f>
        <v>❹ Cru</v>
      </c>
      <c r="I182" s="126"/>
      <c r="J182" s="126"/>
      <c r="K182" s="126"/>
      <c r="L182" s="126"/>
      <c r="M182" s="126"/>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c r="AI182" s="126"/>
      <c r="AJ182" s="126"/>
      <c r="AK182" s="126"/>
      <c r="AL182" s="126"/>
      <c r="AM182" s="126"/>
      <c r="AN182" s="126"/>
      <c r="AO182" s="126"/>
      <c r="AP182" s="126"/>
      <c r="AQ182" s="126"/>
      <c r="AR182" s="126"/>
      <c r="AS182" s="126"/>
      <c r="AT182" s="126"/>
      <c r="AU182" s="126"/>
      <c r="AV182" s="126"/>
      <c r="AW182" s="126"/>
      <c r="AX182" s="126"/>
      <c r="AY182" s="126"/>
      <c r="AZ182" s="126"/>
      <c r="BA182" s="126"/>
      <c r="BB182" s="126"/>
      <c r="BC182" s="126"/>
      <c r="BD182" s="130">
        <v>1</v>
      </c>
    </row>
    <row r="183" spans="1:56" ht="21" customHeight="1" x14ac:dyDescent="0.25">
      <c r="A183" s="126"/>
      <c r="B183" s="782"/>
      <c r="C183" s="162"/>
      <c r="D183" s="309"/>
      <c r="E183" s="419"/>
      <c r="F183" s="129"/>
      <c r="G183" s="418">
        <f>G178*E182</f>
        <v>3.6000000000000004E-2</v>
      </c>
      <c r="H183" s="312" t="str">
        <f>H178</f>
        <v>❺ Cuit</v>
      </c>
      <c r="I183" s="126"/>
      <c r="J183" s="126"/>
      <c r="K183" s="126"/>
      <c r="L183" s="126"/>
      <c r="M183" s="126"/>
      <c r="N183" s="126"/>
      <c r="O183" s="126"/>
      <c r="P183" s="126"/>
      <c r="Q183" s="126"/>
      <c r="R183" s="126"/>
      <c r="S183" s="126"/>
      <c r="T183" s="126"/>
      <c r="U183" s="126"/>
      <c r="V183" s="126"/>
      <c r="W183" s="126"/>
      <c r="X183" s="126"/>
      <c r="Y183" s="126"/>
      <c r="Z183" s="126"/>
      <c r="AA183" s="126"/>
      <c r="AB183" s="126"/>
      <c r="AC183" s="126"/>
      <c r="AD183" s="126"/>
      <c r="AE183" s="126"/>
      <c r="AF183" s="126"/>
      <c r="AG183" s="126"/>
      <c r="AH183" s="126"/>
      <c r="AI183" s="126"/>
      <c r="AJ183" s="126"/>
      <c r="AK183" s="126"/>
      <c r="AL183" s="126"/>
      <c r="AM183" s="126"/>
      <c r="AN183" s="126"/>
      <c r="AO183" s="126"/>
      <c r="AP183" s="126"/>
      <c r="AQ183" s="126"/>
      <c r="AR183" s="126"/>
      <c r="AS183" s="126"/>
      <c r="AT183" s="126"/>
      <c r="AU183" s="126"/>
      <c r="AV183" s="126"/>
      <c r="AW183" s="126"/>
      <c r="AX183" s="126"/>
      <c r="AY183" s="126"/>
      <c r="AZ183" s="126"/>
      <c r="BA183" s="126"/>
      <c r="BB183" s="126"/>
      <c r="BC183" s="126"/>
      <c r="BD183" s="130">
        <v>1</v>
      </c>
    </row>
    <row r="184" spans="1:56" ht="21" customHeight="1" x14ac:dyDescent="0.25">
      <c r="A184" s="126"/>
      <c r="B184" s="782"/>
      <c r="C184" s="162"/>
      <c r="D184" s="317" t="s">
        <v>1627</v>
      </c>
      <c r="E184" s="235">
        <f>E182*E181</f>
        <v>1800</v>
      </c>
      <c r="F184" s="420" t="str">
        <f>F175</f>
        <v>Morceaux</v>
      </c>
      <c r="G184" s="320"/>
      <c r="H184" s="321"/>
      <c r="I184" s="126"/>
      <c r="J184" s="126"/>
      <c r="K184" s="126"/>
      <c r="L184" s="126"/>
      <c r="M184" s="126"/>
      <c r="N184" s="126"/>
      <c r="O184" s="126"/>
      <c r="P184" s="126"/>
      <c r="Q184" s="126"/>
      <c r="R184" s="126"/>
      <c r="S184" s="126"/>
      <c r="T184" s="126"/>
      <c r="U184" s="126"/>
      <c r="V184" s="126"/>
      <c r="W184" s="126"/>
      <c r="X184" s="126"/>
      <c r="Y184" s="126"/>
      <c r="Z184" s="126"/>
      <c r="AA184" s="126"/>
      <c r="AB184" s="126"/>
      <c r="AC184" s="126"/>
      <c r="AD184" s="126"/>
      <c r="AE184" s="126"/>
      <c r="AF184" s="126"/>
      <c r="AG184" s="126"/>
      <c r="AH184" s="126"/>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30">
        <v>1</v>
      </c>
    </row>
    <row r="185" spans="1:56" ht="21" customHeight="1" x14ac:dyDescent="0.25">
      <c r="A185" s="126"/>
      <c r="B185" s="782"/>
      <c r="C185" s="162"/>
      <c r="D185" s="317"/>
      <c r="E185" s="421">
        <f>G182*E181</f>
        <v>86.4</v>
      </c>
      <c r="F185" s="422" t="str">
        <f>F178</f>
        <v>❹ Cru</v>
      </c>
      <c r="G185" s="320"/>
      <c r="H185" s="321"/>
      <c r="I185" s="126"/>
      <c r="J185" s="126"/>
      <c r="K185" s="126"/>
      <c r="L185" s="126"/>
      <c r="M185" s="126"/>
      <c r="N185" s="126"/>
      <c r="O185" s="126"/>
      <c r="P185" s="126"/>
      <c r="Q185" s="126"/>
      <c r="R185" s="126"/>
      <c r="S185" s="126"/>
      <c r="T185" s="126"/>
      <c r="U185" s="126"/>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c r="AZ185" s="126"/>
      <c r="BA185" s="126"/>
      <c r="BB185" s="126"/>
      <c r="BC185" s="126"/>
      <c r="BD185" s="130">
        <v>1</v>
      </c>
    </row>
    <row r="186" spans="1:56" ht="21" customHeight="1" x14ac:dyDescent="0.25">
      <c r="A186" s="126"/>
      <c r="B186" s="782"/>
      <c r="C186" s="162"/>
      <c r="D186" s="317"/>
      <c r="E186" s="421">
        <f>G183*E181</f>
        <v>43.2</v>
      </c>
      <c r="F186" s="412" t="str">
        <f>H178</f>
        <v>❺ Cuit</v>
      </c>
      <c r="G186" s="320"/>
      <c r="H186" s="321"/>
      <c r="I186" s="126"/>
      <c r="J186" s="126"/>
      <c r="K186" s="126"/>
      <c r="L186" s="126"/>
      <c r="M186" s="126"/>
      <c r="N186" s="126"/>
      <c r="O186" s="126"/>
      <c r="P186" s="126"/>
      <c r="Q186" s="126"/>
      <c r="R186" s="126"/>
      <c r="S186" s="126"/>
      <c r="T186" s="126"/>
      <c r="U186" s="126"/>
      <c r="V186" s="126"/>
      <c r="W186" s="126"/>
      <c r="X186" s="126"/>
      <c r="Y186" s="126"/>
      <c r="Z186" s="126"/>
      <c r="AA186" s="126"/>
      <c r="AB186" s="126"/>
      <c r="AC186" s="126"/>
      <c r="AD186" s="126"/>
      <c r="AE186" s="126"/>
      <c r="AF186" s="126"/>
      <c r="AG186" s="126"/>
      <c r="AH186" s="126"/>
      <c r="AI186" s="126"/>
      <c r="AJ186" s="126"/>
      <c r="AK186" s="126"/>
      <c r="AL186" s="126"/>
      <c r="AM186" s="126"/>
      <c r="AN186" s="126"/>
      <c r="AO186" s="126"/>
      <c r="AP186" s="126"/>
      <c r="AQ186" s="126"/>
      <c r="AR186" s="126"/>
      <c r="AS186" s="126"/>
      <c r="AT186" s="126"/>
      <c r="AU186" s="126"/>
      <c r="AV186" s="126"/>
      <c r="AW186" s="126"/>
      <c r="AX186" s="126"/>
      <c r="AY186" s="126"/>
      <c r="AZ186" s="126"/>
      <c r="BA186" s="126"/>
      <c r="BB186" s="126"/>
      <c r="BC186" s="126"/>
      <c r="BD186" s="130">
        <v>1</v>
      </c>
    </row>
    <row r="187" spans="1:56" ht="21" customHeight="1" x14ac:dyDescent="0.25">
      <c r="A187" s="126"/>
      <c r="B187" s="782"/>
      <c r="C187" s="207"/>
      <c r="D187" s="322" t="s">
        <v>1628</v>
      </c>
      <c r="E187" s="323">
        <f>E170</f>
        <v>86</v>
      </c>
      <c r="F187" s="324" t="s">
        <v>1629</v>
      </c>
      <c r="G187" s="325">
        <f>IF(ISBLANK(E182),0,E177/E182)</f>
        <v>14</v>
      </c>
      <c r="H187" s="292"/>
      <c r="I187" s="126"/>
      <c r="J187" s="126"/>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30">
        <v>1</v>
      </c>
    </row>
    <row r="188" spans="1:56" ht="21" customHeight="1" x14ac:dyDescent="0.25">
      <c r="A188" s="126"/>
      <c r="B188" s="782"/>
      <c r="C188" s="162"/>
      <c r="D188" s="322"/>
      <c r="E188" s="323"/>
      <c r="F188" s="326"/>
      <c r="G188" s="325"/>
      <c r="H188" s="292"/>
      <c r="I188" s="126"/>
      <c r="J188" s="126"/>
      <c r="K188" s="126"/>
      <c r="L188" s="126"/>
      <c r="M188" s="126"/>
      <c r="N188" s="126"/>
      <c r="O188" s="126"/>
      <c r="P188" s="126"/>
      <c r="Q188" s="126"/>
      <c r="R188" s="126"/>
      <c r="S188" s="126"/>
      <c r="T188" s="126"/>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30">
        <v>1</v>
      </c>
    </row>
    <row r="189" spans="1:56" ht="21" customHeight="1" x14ac:dyDescent="0.25">
      <c r="A189" s="126"/>
      <c r="B189" s="782"/>
      <c r="C189" s="768" t="s">
        <v>1630</v>
      </c>
      <c r="D189" s="768"/>
      <c r="E189" s="768"/>
      <c r="F189" s="768"/>
      <c r="G189" s="768"/>
      <c r="H189" s="769"/>
      <c r="I189" s="126"/>
      <c r="J189" s="126"/>
      <c r="K189" s="126"/>
      <c r="L189" s="126"/>
      <c r="M189" s="126"/>
      <c r="N189" s="126"/>
      <c r="O189" s="126"/>
      <c r="P189" s="126"/>
      <c r="Q189" s="126"/>
      <c r="R189" s="126"/>
      <c r="S189" s="126"/>
      <c r="T189" s="126"/>
      <c r="U189" s="126"/>
      <c r="V189" s="126"/>
      <c r="W189" s="126"/>
      <c r="X189" s="126"/>
      <c r="Y189" s="126"/>
      <c r="Z189" s="126"/>
      <c r="AA189" s="126"/>
      <c r="AB189" s="126"/>
      <c r="AC189" s="126"/>
      <c r="AD189" s="126"/>
      <c r="AE189" s="126"/>
      <c r="AF189" s="126"/>
      <c r="AG189" s="126"/>
      <c r="AH189" s="126"/>
      <c r="AI189" s="126"/>
      <c r="AJ189" s="126"/>
      <c r="AK189" s="126"/>
      <c r="AL189" s="126"/>
      <c r="AM189" s="126"/>
      <c r="AN189" s="126"/>
      <c r="AO189" s="126"/>
      <c r="AP189" s="126"/>
      <c r="AQ189" s="126"/>
      <c r="AR189" s="126"/>
      <c r="AS189" s="126"/>
      <c r="AT189" s="126"/>
      <c r="AU189" s="126"/>
      <c r="AV189" s="126"/>
      <c r="AW189" s="126"/>
      <c r="AX189" s="126"/>
      <c r="AY189" s="126"/>
      <c r="AZ189" s="126"/>
      <c r="BA189" s="126"/>
      <c r="BB189" s="126"/>
      <c r="BC189" s="126"/>
      <c r="BD189" s="130">
        <v>1</v>
      </c>
    </row>
    <row r="190" spans="1:56" ht="21" customHeight="1" x14ac:dyDescent="0.25">
      <c r="A190" s="126"/>
      <c r="B190" s="782"/>
      <c r="C190" s="768"/>
      <c r="D190" s="768"/>
      <c r="E190" s="768"/>
      <c r="F190" s="768"/>
      <c r="G190" s="768"/>
      <c r="H190" s="769"/>
      <c r="I190" s="126"/>
      <c r="J190" s="126"/>
      <c r="K190" s="126"/>
      <c r="L190" s="126"/>
      <c r="M190" s="126"/>
      <c r="N190" s="126"/>
      <c r="O190" s="126"/>
      <c r="P190" s="126"/>
      <c r="Q190" s="126"/>
      <c r="R190" s="126"/>
      <c r="S190" s="126"/>
      <c r="T190" s="126"/>
      <c r="U190" s="126"/>
      <c r="V190" s="126"/>
      <c r="W190" s="126"/>
      <c r="X190" s="126"/>
      <c r="Y190" s="126"/>
      <c r="Z190" s="126"/>
      <c r="AA190" s="126"/>
      <c r="AB190" s="126"/>
      <c r="AC190" s="126"/>
      <c r="AD190" s="126"/>
      <c r="AE190" s="126"/>
      <c r="AF190" s="126"/>
      <c r="AG190" s="126"/>
      <c r="AH190" s="126"/>
      <c r="AI190" s="126"/>
      <c r="AJ190" s="126"/>
      <c r="AK190" s="126"/>
      <c r="AL190" s="126"/>
      <c r="AM190" s="126"/>
      <c r="AN190" s="126"/>
      <c r="AO190" s="126"/>
      <c r="AP190" s="126"/>
      <c r="AQ190" s="126"/>
      <c r="AR190" s="126"/>
      <c r="AS190" s="126"/>
      <c r="AT190" s="126"/>
      <c r="AU190" s="126"/>
      <c r="AV190" s="126"/>
      <c r="AW190" s="126"/>
      <c r="AX190" s="126"/>
      <c r="AY190" s="126"/>
      <c r="AZ190" s="126"/>
      <c r="BA190" s="126"/>
      <c r="BB190" s="126"/>
      <c r="BC190" s="126"/>
      <c r="BD190" s="130">
        <v>1</v>
      </c>
    </row>
    <row r="191" spans="1:56" ht="21" customHeight="1" x14ac:dyDescent="0.25">
      <c r="A191" s="126"/>
      <c r="B191" s="782"/>
      <c r="C191" s="327" t="s">
        <v>1659</v>
      </c>
      <c r="D191" s="328"/>
      <c r="E191" s="328"/>
      <c r="F191" s="328"/>
      <c r="G191" s="328"/>
      <c r="H191" s="329"/>
      <c r="I191" s="126"/>
      <c r="J191" s="126"/>
      <c r="K191" s="126"/>
      <c r="L191" s="126"/>
      <c r="M191" s="126"/>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c r="AI191" s="126"/>
      <c r="AJ191" s="126"/>
      <c r="AK191" s="126"/>
      <c r="AL191" s="126"/>
      <c r="AM191" s="126"/>
      <c r="AN191" s="126"/>
      <c r="AO191" s="126"/>
      <c r="AP191" s="126"/>
      <c r="AQ191" s="126"/>
      <c r="AR191" s="126"/>
      <c r="AS191" s="126"/>
      <c r="AT191" s="126"/>
      <c r="AU191" s="126"/>
      <c r="AV191" s="126"/>
      <c r="AW191" s="126"/>
      <c r="AX191" s="126"/>
      <c r="AY191" s="126"/>
      <c r="AZ191" s="126"/>
      <c r="BA191" s="126"/>
      <c r="BB191" s="126"/>
      <c r="BC191" s="126"/>
      <c r="BD191" s="130">
        <v>1</v>
      </c>
    </row>
    <row r="192" spans="1:56" ht="21" customHeight="1" x14ac:dyDescent="0.25">
      <c r="A192" s="126"/>
      <c r="B192" s="782"/>
      <c r="C192" s="784" t="s">
        <v>1632</v>
      </c>
      <c r="D192" s="784"/>
      <c r="E192" s="784"/>
      <c r="F192" s="784"/>
      <c r="G192" s="784"/>
      <c r="H192" s="785"/>
      <c r="I192" s="126"/>
      <c r="J192" s="126"/>
      <c r="K192" s="126"/>
      <c r="L192" s="126"/>
      <c r="M192" s="126"/>
      <c r="N192" s="126"/>
      <c r="O192" s="126"/>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6"/>
      <c r="AP192" s="126"/>
      <c r="AQ192" s="126"/>
      <c r="AR192" s="126"/>
      <c r="AS192" s="126"/>
      <c r="AT192" s="126"/>
      <c r="AU192" s="126"/>
      <c r="AV192" s="126"/>
      <c r="AW192" s="126"/>
      <c r="AX192" s="126"/>
      <c r="AY192" s="126"/>
      <c r="AZ192" s="126"/>
      <c r="BA192" s="126"/>
      <c r="BB192" s="126"/>
      <c r="BC192" s="126"/>
      <c r="BD192" s="130">
        <v>1</v>
      </c>
    </row>
    <row r="193" spans="1:58" ht="21" customHeight="1" x14ac:dyDescent="0.25">
      <c r="A193" s="126"/>
      <c r="B193" s="782"/>
      <c r="C193" s="330" t="s">
        <v>1633</v>
      </c>
      <c r="D193" s="162"/>
      <c r="E193" s="162"/>
      <c r="F193" s="266" t="s">
        <v>1634</v>
      </c>
      <c r="G193" s="162"/>
      <c r="H193" s="292"/>
      <c r="I193" s="126"/>
      <c r="J193" s="126"/>
      <c r="K193" s="126"/>
      <c r="L193" s="126"/>
      <c r="M193" s="126"/>
      <c r="N193" s="126"/>
      <c r="O193" s="126"/>
      <c r="P193" s="126"/>
      <c r="Q193" s="126"/>
      <c r="R193" s="126"/>
      <c r="S193" s="126"/>
      <c r="T193" s="126"/>
      <c r="U193" s="126"/>
      <c r="V193" s="126"/>
      <c r="W193" s="126"/>
      <c r="X193" s="126"/>
      <c r="Y193" s="126"/>
      <c r="Z193" s="126"/>
      <c r="AA193" s="126"/>
      <c r="AB193" s="126"/>
      <c r="AC193" s="126"/>
      <c r="AD193" s="126"/>
      <c r="AE193" s="126"/>
      <c r="AF193" s="126"/>
      <c r="AG193" s="126"/>
      <c r="AH193" s="126"/>
      <c r="AI193" s="126"/>
      <c r="AJ193" s="126"/>
      <c r="AK193" s="126"/>
      <c r="AL193" s="126"/>
      <c r="AM193" s="126"/>
      <c r="AN193" s="126"/>
      <c r="AO193" s="126"/>
      <c r="AP193" s="126"/>
      <c r="AQ193" s="126"/>
      <c r="AR193" s="126"/>
      <c r="AS193" s="126"/>
      <c r="AT193" s="126"/>
      <c r="AU193" s="126"/>
      <c r="AV193" s="126"/>
      <c r="AW193" s="126"/>
      <c r="AX193" s="126"/>
      <c r="AY193" s="126"/>
      <c r="AZ193" s="126"/>
      <c r="BA193" s="126"/>
      <c r="BB193" s="126"/>
      <c r="BC193" s="126"/>
      <c r="BD193" s="130">
        <v>1</v>
      </c>
    </row>
    <row r="194" spans="1:58" ht="21" customHeight="1" x14ac:dyDescent="0.25">
      <c r="A194" s="126"/>
      <c r="B194" s="782"/>
      <c r="C194" s="331" t="s">
        <v>1620</v>
      </c>
      <c r="D194" s="162"/>
      <c r="E194" s="162"/>
      <c r="F194" s="332" t="s">
        <v>1635</v>
      </c>
      <c r="G194" s="162"/>
      <c r="H194" s="292"/>
      <c r="I194" s="126"/>
      <c r="J194" s="126"/>
      <c r="K194" s="126"/>
      <c r="L194" s="126"/>
      <c r="M194" s="126"/>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c r="AI194" s="126"/>
      <c r="AJ194" s="126"/>
      <c r="AK194" s="126"/>
      <c r="AL194" s="126"/>
      <c r="AM194" s="126"/>
      <c r="AN194" s="126"/>
      <c r="AO194" s="126"/>
      <c r="AP194" s="126"/>
      <c r="AQ194" s="126"/>
      <c r="AR194" s="126"/>
      <c r="AS194" s="126"/>
      <c r="AT194" s="126"/>
      <c r="AU194" s="126"/>
      <c r="AV194" s="126"/>
      <c r="AW194" s="126"/>
      <c r="AX194" s="126"/>
      <c r="AY194" s="126"/>
      <c r="AZ194" s="126"/>
      <c r="BA194" s="126"/>
      <c r="BB194" s="126"/>
      <c r="BC194" s="126"/>
      <c r="BD194" s="130">
        <v>1</v>
      </c>
    </row>
    <row r="195" spans="1:58" ht="21" customHeight="1" x14ac:dyDescent="0.25">
      <c r="A195" s="126"/>
      <c r="B195" s="782"/>
      <c r="C195" s="333" t="s">
        <v>1636</v>
      </c>
      <c r="D195" s="162"/>
      <c r="E195" s="162"/>
      <c r="F195" s="334" t="s">
        <v>1637</v>
      </c>
      <c r="G195" s="162"/>
      <c r="H195" s="292"/>
      <c r="I195" s="126"/>
      <c r="J195" s="126"/>
      <c r="K195" s="126"/>
      <c r="L195" s="126"/>
      <c r="M195" s="126"/>
      <c r="N195" s="126"/>
      <c r="O195" s="126"/>
      <c r="P195" s="126"/>
      <c r="Q195" s="126"/>
      <c r="R195" s="126"/>
      <c r="S195" s="126"/>
      <c r="T195" s="126"/>
      <c r="U195" s="126"/>
      <c r="V195" s="126"/>
      <c r="W195" s="126"/>
      <c r="X195" s="126"/>
      <c r="Y195" s="126"/>
      <c r="Z195" s="126"/>
      <c r="AA195" s="126"/>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30">
        <v>1</v>
      </c>
    </row>
    <row r="196" spans="1:58" ht="21" customHeight="1" x14ac:dyDescent="0.25">
      <c r="A196" s="126"/>
      <c r="B196" s="782"/>
      <c r="C196" s="266"/>
      <c r="D196" s="152"/>
      <c r="E196" s="303" t="s">
        <v>1656</v>
      </c>
      <c r="F196" s="335" t="s">
        <v>1660</v>
      </c>
      <c r="G196" s="162"/>
      <c r="H196" s="292"/>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6"/>
      <c r="AE196" s="126"/>
      <c r="AF196" s="126"/>
      <c r="AG196" s="126"/>
      <c r="AH196" s="126"/>
      <c r="AI196" s="126"/>
      <c r="AJ196" s="126"/>
      <c r="AK196" s="126"/>
      <c r="AL196" s="126"/>
      <c r="AM196" s="126"/>
      <c r="AN196" s="126"/>
      <c r="AO196" s="126"/>
      <c r="AP196" s="126"/>
      <c r="AQ196" s="126"/>
      <c r="AR196" s="126"/>
      <c r="AS196" s="126"/>
      <c r="AT196" s="126"/>
      <c r="AU196" s="126"/>
      <c r="AV196" s="126"/>
      <c r="AW196" s="126"/>
      <c r="AX196" s="126"/>
      <c r="AY196" s="126"/>
      <c r="AZ196" s="126"/>
      <c r="BA196" s="126"/>
      <c r="BB196" s="126"/>
      <c r="BC196" s="126"/>
      <c r="BD196" s="130">
        <v>1</v>
      </c>
    </row>
    <row r="197" spans="1:58" ht="21" customHeight="1" x14ac:dyDescent="0.25">
      <c r="A197" s="126"/>
      <c r="B197" s="782"/>
      <c r="C197" s="268"/>
      <c r="D197" s="152"/>
      <c r="E197" s="337" t="s">
        <v>1661</v>
      </c>
      <c r="F197" s="423" t="s">
        <v>1639</v>
      </c>
      <c r="G197" s="162"/>
      <c r="H197" s="292"/>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c r="AJ197" s="126"/>
      <c r="AK197" s="126"/>
      <c r="AL197" s="126"/>
      <c r="AM197" s="126"/>
      <c r="AN197" s="126"/>
      <c r="AO197" s="126"/>
      <c r="AP197" s="126"/>
      <c r="AQ197" s="126"/>
      <c r="AR197" s="126"/>
      <c r="AS197" s="126"/>
      <c r="AT197" s="126"/>
      <c r="AU197" s="126"/>
      <c r="AV197" s="126"/>
      <c r="AW197" s="126"/>
      <c r="AX197" s="126"/>
      <c r="AY197" s="126"/>
      <c r="AZ197" s="126"/>
      <c r="BA197" s="126"/>
      <c r="BB197" s="126"/>
      <c r="BC197" s="126"/>
      <c r="BD197" s="130">
        <v>1</v>
      </c>
    </row>
    <row r="198" spans="1:58" ht="21" customHeight="1" x14ac:dyDescent="0.25">
      <c r="A198" s="126"/>
      <c r="B198" s="782"/>
      <c r="C198" s="268"/>
      <c r="D198" s="424" t="s">
        <v>1662</v>
      </c>
      <c r="E198" s="425" t="str">
        <f>ADDRESS(ROW(G177),COLUMN(G177),4)</f>
        <v>G177</v>
      </c>
      <c r="G198" s="162"/>
      <c r="H198" s="292"/>
      <c r="I198" s="126"/>
      <c r="J198" s="126"/>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c r="AI198" s="126"/>
      <c r="AJ198" s="126"/>
      <c r="AK198" s="126"/>
      <c r="AL198" s="126"/>
      <c r="AM198" s="126"/>
      <c r="AN198" s="126"/>
      <c r="AO198" s="126"/>
      <c r="AP198" s="126"/>
      <c r="AQ198" s="126"/>
      <c r="AR198" s="126"/>
      <c r="AS198" s="126"/>
      <c r="AT198" s="126"/>
      <c r="AU198" s="126"/>
      <c r="AV198" s="126"/>
      <c r="AW198" s="126"/>
      <c r="AX198" s="126"/>
      <c r="AY198" s="126"/>
      <c r="AZ198" s="126"/>
      <c r="BA198" s="126"/>
      <c r="BB198" s="126"/>
      <c r="BC198" s="126"/>
      <c r="BD198" s="130">
        <v>1</v>
      </c>
    </row>
    <row r="199" spans="1:58" ht="21" customHeight="1" x14ac:dyDescent="0.25">
      <c r="A199" s="126"/>
      <c r="B199" s="782"/>
      <c r="C199" s="195" t="s">
        <v>1642</v>
      </c>
      <c r="D199" s="342"/>
      <c r="E199" s="340"/>
      <c r="F199" s="195" t="s">
        <v>1643</v>
      </c>
      <c r="G199" s="162"/>
      <c r="H199" s="292"/>
      <c r="I199" s="126"/>
      <c r="J199" s="126"/>
      <c r="K199" s="126"/>
      <c r="L199" s="126"/>
      <c r="M199" s="126"/>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30">
        <v>1</v>
      </c>
    </row>
    <row r="200" spans="1:58" ht="21" customHeight="1" x14ac:dyDescent="0.25">
      <c r="A200" s="126"/>
      <c r="B200" s="782"/>
      <c r="C200" s="198">
        <v>12</v>
      </c>
      <c r="D200" s="198">
        <v>11</v>
      </c>
      <c r="E200" s="198">
        <v>11</v>
      </c>
      <c r="F200" s="198">
        <v>11</v>
      </c>
      <c r="G200" s="198">
        <v>11</v>
      </c>
      <c r="H200" s="199">
        <v>11</v>
      </c>
      <c r="I200" s="200" t="s">
        <v>1543</v>
      </c>
      <c r="J200" s="126"/>
      <c r="K200" s="126"/>
      <c r="L200" s="126"/>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c r="AJ200" s="126"/>
      <c r="AK200" s="126"/>
      <c r="AL200" s="126"/>
      <c r="AM200" s="126"/>
      <c r="AN200" s="126"/>
      <c r="AO200" s="126"/>
      <c r="AP200" s="126"/>
      <c r="AQ200" s="126"/>
      <c r="AR200" s="126"/>
      <c r="AS200" s="126"/>
      <c r="AT200" s="126"/>
      <c r="AU200" s="126"/>
      <c r="AV200" s="126"/>
      <c r="AW200" s="126"/>
      <c r="AX200" s="126"/>
      <c r="AY200" s="126"/>
      <c r="AZ200" s="126"/>
      <c r="BA200" s="126"/>
      <c r="BB200" s="126"/>
      <c r="BC200" s="126"/>
      <c r="BD200" s="130">
        <v>1</v>
      </c>
    </row>
    <row r="201" spans="1:58" ht="21" customHeight="1" thickBot="1" x14ac:dyDescent="0.3">
      <c r="A201" s="126"/>
      <c r="B201" s="783"/>
      <c r="C201" s="205">
        <f ca="1">CELL("largeur",C201)</f>
        <v>11</v>
      </c>
      <c r="D201" s="205">
        <f t="shared" ref="D201:H201" ca="1" si="10">CELL("largeur",D201)</f>
        <v>18</v>
      </c>
      <c r="E201" s="205">
        <f t="shared" ca="1" si="10"/>
        <v>11</v>
      </c>
      <c r="F201" s="205">
        <f t="shared" ca="1" si="10"/>
        <v>11</v>
      </c>
      <c r="G201" s="205">
        <f t="shared" ca="1" si="10"/>
        <v>11</v>
      </c>
      <c r="H201" s="206">
        <f t="shared" ca="1" si="10"/>
        <v>11</v>
      </c>
      <c r="I201" s="200" t="s">
        <v>1546</v>
      </c>
      <c r="J201" s="12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6"/>
      <c r="AN201" s="126"/>
      <c r="AO201" s="126"/>
      <c r="AP201" s="126"/>
      <c r="AQ201" s="126"/>
      <c r="AR201" s="126"/>
      <c r="AS201" s="126"/>
      <c r="AT201" s="126"/>
      <c r="AU201" s="126"/>
      <c r="AV201" s="126"/>
      <c r="AW201" s="126"/>
      <c r="AX201" s="126"/>
      <c r="AY201" s="126"/>
      <c r="AZ201" s="126"/>
      <c r="BA201" s="126"/>
      <c r="BB201" s="126"/>
      <c r="BC201" s="126"/>
      <c r="BD201" s="130">
        <v>1</v>
      </c>
    </row>
    <row r="202" spans="1:58" ht="21" customHeight="1" thickBot="1" x14ac:dyDescent="0.3">
      <c r="A202" s="126"/>
      <c r="B202" s="126"/>
      <c r="C202" s="126"/>
      <c r="D202" s="126"/>
      <c r="E202" s="126"/>
      <c r="F202" s="126"/>
      <c r="G202" s="126"/>
      <c r="H202" s="126"/>
      <c r="I202" s="126"/>
      <c r="J202" s="126"/>
      <c r="K202" s="126"/>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30">
        <v>1</v>
      </c>
    </row>
    <row r="203" spans="1:58" s="133" customFormat="1" ht="21" customHeight="1" x14ac:dyDescent="0.25">
      <c r="A203" s="126">
        <v>1</v>
      </c>
      <c r="B203" s="156" t="s">
        <v>1505</v>
      </c>
      <c r="C203" s="426"/>
      <c r="D203" s="427"/>
      <c r="E203" s="427"/>
      <c r="F203" s="427"/>
      <c r="G203" s="427"/>
      <c r="H203" s="428"/>
      <c r="I203" s="427"/>
      <c r="J203" s="427"/>
      <c r="K203" s="429" t="s">
        <v>1663</v>
      </c>
      <c r="L203" s="430" t="s">
        <v>1664</v>
      </c>
      <c r="M203" s="126"/>
      <c r="N203" s="126"/>
      <c r="O203" s="126"/>
      <c r="P203" s="126"/>
      <c r="Q203" s="126"/>
      <c r="R203" s="126"/>
      <c r="S203" s="126"/>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30">
        <v>1</v>
      </c>
      <c r="BE203" s="153"/>
      <c r="BF203" s="153"/>
    </row>
    <row r="204" spans="1:58" s="133" customFormat="1" ht="21" customHeight="1" x14ac:dyDescent="0.25">
      <c r="A204" s="126">
        <v>1</v>
      </c>
      <c r="B204" s="786">
        <v>3</v>
      </c>
      <c r="C204" s="431" t="str">
        <f>ADDRESS(ROW(),COLUMN(),4)</f>
        <v>C204</v>
      </c>
      <c r="D204" s="432" t="s">
        <v>1665</v>
      </c>
      <c r="E204" s="433"/>
      <c r="F204" s="433"/>
      <c r="G204" s="433"/>
      <c r="H204" s="433"/>
      <c r="I204" s="433"/>
      <c r="J204" s="433"/>
      <c r="K204" s="434"/>
      <c r="L204" s="126">
        <v>1</v>
      </c>
      <c r="M204" s="126">
        <v>1</v>
      </c>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6"/>
      <c r="AP204" s="126"/>
      <c r="AQ204" s="126"/>
      <c r="AR204" s="126"/>
      <c r="AS204" s="126"/>
      <c r="AT204" s="126"/>
      <c r="AU204" s="126"/>
      <c r="AV204" s="126"/>
      <c r="AW204" s="126"/>
      <c r="AX204" s="126"/>
      <c r="AY204" s="126"/>
      <c r="AZ204" s="126"/>
      <c r="BA204" s="126"/>
      <c r="BB204" s="126"/>
      <c r="BC204" s="126"/>
      <c r="BD204" s="130">
        <v>1</v>
      </c>
      <c r="BE204" s="153"/>
      <c r="BF204" s="153"/>
    </row>
    <row r="205" spans="1:58" s="133" customFormat="1" ht="21" customHeight="1" x14ac:dyDescent="0.25">
      <c r="A205" s="126">
        <v>1</v>
      </c>
      <c r="B205" s="786"/>
      <c r="C205" s="435"/>
      <c r="D205" s="436" t="s">
        <v>1666</v>
      </c>
      <c r="E205" s="437">
        <v>0.44</v>
      </c>
      <c r="F205" s="438"/>
      <c r="G205" s="439" t="s">
        <v>1666</v>
      </c>
      <c r="H205" s="437">
        <v>100</v>
      </c>
      <c r="I205" s="438"/>
      <c r="J205" s="440" t="s">
        <v>1667</v>
      </c>
      <c r="K205" s="441">
        <v>115</v>
      </c>
      <c r="L205" s="158" t="s">
        <v>1604</v>
      </c>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30">
        <v>1</v>
      </c>
      <c r="BE205" s="153"/>
      <c r="BF205" s="153"/>
    </row>
    <row r="206" spans="1:58" s="133" customFormat="1" ht="21" customHeight="1" x14ac:dyDescent="0.25">
      <c r="A206" s="126">
        <v>1</v>
      </c>
      <c r="B206" s="786"/>
      <c r="C206" s="442"/>
      <c r="D206" s="443" t="s">
        <v>1668</v>
      </c>
      <c r="E206" s="444">
        <v>60</v>
      </c>
      <c r="F206" s="438"/>
      <c r="G206" s="443" t="s">
        <v>1669</v>
      </c>
      <c r="H206" s="445">
        <v>10</v>
      </c>
      <c r="I206" s="438"/>
      <c r="J206" s="439" t="s">
        <v>1666</v>
      </c>
      <c r="K206" s="446">
        <v>133</v>
      </c>
      <c r="L206" s="158" t="s">
        <v>1607</v>
      </c>
      <c r="M206" s="126"/>
      <c r="N206" s="126"/>
      <c r="O206" s="126"/>
      <c r="P206" s="126"/>
      <c r="Q206" s="126"/>
      <c r="R206" s="126"/>
      <c r="S206" s="126"/>
      <c r="T206" s="126"/>
      <c r="U206" s="126"/>
      <c r="V206" s="126"/>
      <c r="W206" s="126"/>
      <c r="X206" s="126"/>
      <c r="Y206" s="126"/>
      <c r="Z206" s="126"/>
      <c r="AA206" s="126"/>
      <c r="AB206" s="126"/>
      <c r="AC206" s="126"/>
      <c r="AD206" s="126"/>
      <c r="AE206" s="126"/>
      <c r="AF206" s="126"/>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30">
        <v>1</v>
      </c>
      <c r="BE206" s="153"/>
      <c r="BF206" s="153"/>
    </row>
    <row r="207" spans="1:58" s="133" customFormat="1" ht="21" customHeight="1" x14ac:dyDescent="0.25">
      <c r="A207" s="126">
        <v>1</v>
      </c>
      <c r="B207" s="786"/>
      <c r="C207" s="447"/>
      <c r="D207" s="448" t="s">
        <v>1669</v>
      </c>
      <c r="E207" s="449">
        <f>E205*E206%</f>
        <v>0.26400000000000001</v>
      </c>
      <c r="F207" s="438"/>
      <c r="G207" s="450" t="s">
        <v>1667</v>
      </c>
      <c r="H207" s="449">
        <f>IF(H205=0,0,H205+H206)</f>
        <v>110</v>
      </c>
      <c r="I207" s="438"/>
      <c r="J207" s="448" t="s">
        <v>1669</v>
      </c>
      <c r="K207" s="451">
        <f>IF(K205=0,0,IF(K206=0,0,K205-K206))</f>
        <v>-18</v>
      </c>
      <c r="L207" s="369" t="str">
        <f>HYPERLINK("#"&amp;ADDRESS(ROW(K207),COLUMN(K207),4),"◀"&amp;ADDRESS(ROW(K207),COLUMN(K207),4))</f>
        <v>◀K207</v>
      </c>
      <c r="M207" s="224" t="str">
        <f ca="1">_xlfn.FORMULATEXT(K207)</f>
        <v>=SI(K205=0;0;SI(K206=0;0;K205-K206))</v>
      </c>
      <c r="N207" s="126"/>
      <c r="O207" s="126"/>
      <c r="P207" s="126"/>
      <c r="Q207" s="126"/>
      <c r="R207" s="126"/>
      <c r="S207" s="126"/>
      <c r="T207" s="126"/>
      <c r="U207" s="126"/>
      <c r="V207" s="126"/>
      <c r="W207" s="126"/>
      <c r="X207" s="126"/>
      <c r="Y207" s="126"/>
      <c r="Z207" s="126"/>
      <c r="AA207" s="126"/>
      <c r="AB207" s="126"/>
      <c r="AC207" s="126"/>
      <c r="AD207" s="126"/>
      <c r="AE207" s="126"/>
      <c r="AF207" s="126"/>
      <c r="AG207" s="126"/>
      <c r="AH207" s="126"/>
      <c r="AI207" s="126"/>
      <c r="AJ207" s="126"/>
      <c r="AK207" s="126"/>
      <c r="AL207" s="126"/>
      <c r="AM207" s="126"/>
      <c r="AN207" s="126"/>
      <c r="AO207" s="126"/>
      <c r="AP207" s="126"/>
      <c r="AQ207" s="126"/>
      <c r="AR207" s="126"/>
      <c r="AS207" s="126"/>
      <c r="AT207" s="126"/>
      <c r="AU207" s="126"/>
      <c r="AV207" s="126"/>
      <c r="AW207" s="126"/>
      <c r="AX207" s="126"/>
      <c r="AY207" s="126"/>
      <c r="AZ207" s="126"/>
      <c r="BA207" s="126"/>
      <c r="BB207" s="126"/>
      <c r="BC207" s="126"/>
      <c r="BD207" s="130">
        <v>1</v>
      </c>
      <c r="BE207" s="153"/>
      <c r="BF207" s="153"/>
    </row>
    <row r="208" spans="1:58" s="133" customFormat="1" ht="21" customHeight="1" x14ac:dyDescent="0.25">
      <c r="A208" s="126">
        <v>1</v>
      </c>
      <c r="B208" s="786"/>
      <c r="C208" s="452"/>
      <c r="D208" s="450" t="s">
        <v>1667</v>
      </c>
      <c r="E208" s="449">
        <f>((E205*E206)/100)+E205</f>
        <v>0.70399999999999996</v>
      </c>
      <c r="F208" s="438"/>
      <c r="G208" s="453" t="s">
        <v>1668</v>
      </c>
      <c r="H208" s="454">
        <f>IF(H205=0,0,IF(ISBLANK(H205),0,(H206/H205)*100))</f>
        <v>10</v>
      </c>
      <c r="I208" s="438"/>
      <c r="J208" s="453" t="s">
        <v>1668</v>
      </c>
      <c r="K208" s="455">
        <f>IF(K206=0,0,IF(ISBLANK(K206),0,(K207/K206)*100))</f>
        <v>-13.533834586466165</v>
      </c>
      <c r="L208" s="369" t="str">
        <f>HYPERLINK("#"&amp;ADDRESS(ROW(K208),COLUMN(K208),4),"◀"&amp;ADDRESS(ROW(K208),COLUMN(K208),4))</f>
        <v>◀K208</v>
      </c>
      <c r="M208" s="224" t="str">
        <f ca="1">_xlfn.FORMULATEXT(K208)</f>
        <v>=SI(K206=0;0;SI(ESTVIDE(K206);0;(K207/K206)*100))</v>
      </c>
      <c r="N208" s="126"/>
      <c r="O208" s="126"/>
      <c r="P208" s="126"/>
      <c r="Q208" s="126"/>
      <c r="R208" s="126"/>
      <c r="S208" s="126"/>
      <c r="T208" s="126"/>
      <c r="U208" s="126"/>
      <c r="V208" s="126"/>
      <c r="W208" s="126"/>
      <c r="X208" s="126"/>
      <c r="Y208" s="126"/>
      <c r="Z208" s="126"/>
      <c r="AA208" s="126"/>
      <c r="AB208" s="126"/>
      <c r="AC208" s="126"/>
      <c r="AD208" s="126"/>
      <c r="AE208" s="126"/>
      <c r="AF208" s="126"/>
      <c r="AG208" s="126"/>
      <c r="AH208" s="126"/>
      <c r="AI208" s="126"/>
      <c r="AJ208" s="126"/>
      <c r="AK208" s="126"/>
      <c r="AL208" s="126"/>
      <c r="AM208" s="126"/>
      <c r="AN208" s="126"/>
      <c r="AO208" s="126"/>
      <c r="AP208" s="126"/>
      <c r="AQ208" s="126"/>
      <c r="AR208" s="126"/>
      <c r="AS208" s="126"/>
      <c r="AT208" s="126"/>
      <c r="AU208" s="126"/>
      <c r="AV208" s="126"/>
      <c r="AW208" s="126"/>
      <c r="AX208" s="126"/>
      <c r="AY208" s="126"/>
      <c r="AZ208" s="126"/>
      <c r="BA208" s="126"/>
      <c r="BB208" s="126"/>
      <c r="BC208" s="126"/>
      <c r="BD208" s="130">
        <v>1</v>
      </c>
      <c r="BE208" s="153"/>
      <c r="BF208" s="153"/>
    </row>
    <row r="209" spans="1:58" s="133" customFormat="1" ht="21" customHeight="1" x14ac:dyDescent="0.25">
      <c r="A209" s="126">
        <v>1</v>
      </c>
      <c r="B209" s="786"/>
      <c r="C209" s="456"/>
      <c r="D209" s="457"/>
      <c r="E209" s="458"/>
      <c r="F209" s="459"/>
      <c r="G209" s="460"/>
      <c r="H209" s="461"/>
      <c r="I209" s="459"/>
      <c r="J209" s="460"/>
      <c r="K209" s="462"/>
      <c r="L209" s="126">
        <v>1</v>
      </c>
      <c r="M209" s="126">
        <v>1</v>
      </c>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c r="AI209" s="126"/>
      <c r="AJ209" s="126"/>
      <c r="AK209" s="126"/>
      <c r="AL209" s="126"/>
      <c r="AM209" s="126"/>
      <c r="AN209" s="126"/>
      <c r="AO209" s="126"/>
      <c r="AP209" s="126"/>
      <c r="AQ209" s="126"/>
      <c r="AR209" s="126"/>
      <c r="AS209" s="126"/>
      <c r="AT209" s="126"/>
      <c r="AU209" s="126"/>
      <c r="AV209" s="126"/>
      <c r="AW209" s="126"/>
      <c r="AX209" s="126"/>
      <c r="AY209" s="126"/>
      <c r="AZ209" s="126"/>
      <c r="BA209" s="126"/>
      <c r="BB209" s="126"/>
      <c r="BC209" s="126"/>
      <c r="BD209" s="130">
        <v>1</v>
      </c>
      <c r="BE209" s="153"/>
      <c r="BF209" s="153"/>
    </row>
    <row r="210" spans="1:58" s="133" customFormat="1" ht="21" customHeight="1" x14ac:dyDescent="0.25">
      <c r="A210" s="126">
        <v>1</v>
      </c>
      <c r="B210" s="786"/>
      <c r="C210" s="435"/>
      <c r="D210" s="439" t="s">
        <v>1666</v>
      </c>
      <c r="E210" s="437">
        <v>5.8970000000000002</v>
      </c>
      <c r="F210" s="438"/>
      <c r="G210" s="440" t="s">
        <v>1667</v>
      </c>
      <c r="H210" s="445">
        <v>9.64</v>
      </c>
      <c r="I210" s="438"/>
      <c r="J210" s="440" t="s">
        <v>1667</v>
      </c>
      <c r="K210" s="441">
        <v>100</v>
      </c>
      <c r="L210" s="126">
        <v>1</v>
      </c>
      <c r="M210" s="126">
        <v>1</v>
      </c>
      <c r="N210" s="126"/>
      <c r="O210" s="126"/>
      <c r="P210" s="126"/>
      <c r="Q210" s="126"/>
      <c r="R210" s="126"/>
      <c r="S210" s="126"/>
      <c r="T210" s="126"/>
      <c r="U210" s="126"/>
      <c r="V210" s="126"/>
      <c r="W210" s="126"/>
      <c r="X210" s="126"/>
      <c r="Y210" s="126"/>
      <c r="Z210" s="126"/>
      <c r="AA210" s="126"/>
      <c r="AB210" s="126"/>
      <c r="AC210" s="126"/>
      <c r="AD210" s="126"/>
      <c r="AE210" s="126"/>
      <c r="AF210" s="126"/>
      <c r="AG210" s="126"/>
      <c r="AH210" s="126"/>
      <c r="AI210" s="126"/>
      <c r="AJ210" s="126"/>
      <c r="AK210" s="126"/>
      <c r="AL210" s="126"/>
      <c r="AM210" s="126"/>
      <c r="AN210" s="126"/>
      <c r="AO210" s="126"/>
      <c r="AP210" s="126"/>
      <c r="AQ210" s="126"/>
      <c r="AR210" s="126"/>
      <c r="AS210" s="126"/>
      <c r="AT210" s="126"/>
      <c r="AU210" s="126"/>
      <c r="AV210" s="126"/>
      <c r="AW210" s="126"/>
      <c r="AX210" s="126"/>
      <c r="AY210" s="126"/>
      <c r="AZ210" s="126"/>
      <c r="BA210" s="126"/>
      <c r="BB210" s="126"/>
      <c r="BC210" s="126"/>
      <c r="BD210" s="130">
        <v>1</v>
      </c>
      <c r="BE210" s="153"/>
      <c r="BF210" s="153"/>
    </row>
    <row r="211" spans="1:58" s="133" customFormat="1" ht="21" customHeight="1" x14ac:dyDescent="0.25">
      <c r="A211" s="126">
        <v>1</v>
      </c>
      <c r="B211" s="786"/>
      <c r="C211" s="463"/>
      <c r="D211" s="440" t="s">
        <v>1667</v>
      </c>
      <c r="E211" s="445">
        <v>9.64</v>
      </c>
      <c r="F211" s="438"/>
      <c r="G211" s="443" t="s">
        <v>1668</v>
      </c>
      <c r="H211" s="464">
        <v>63.5</v>
      </c>
      <c r="I211" s="438"/>
      <c r="J211" s="443" t="s">
        <v>1669</v>
      </c>
      <c r="K211" s="441">
        <v>50</v>
      </c>
      <c r="L211" s="126">
        <v>1</v>
      </c>
      <c r="M211" s="126">
        <v>1</v>
      </c>
      <c r="N211" s="126"/>
      <c r="O211" s="126"/>
      <c r="P211" s="126"/>
      <c r="Q211" s="126"/>
      <c r="R211" s="126"/>
      <c r="S211" s="126"/>
      <c r="T211" s="126"/>
      <c r="U211" s="126"/>
      <c r="V211" s="126"/>
      <c r="W211" s="126"/>
      <c r="X211" s="126"/>
      <c r="Y211" s="126"/>
      <c r="Z211" s="126"/>
      <c r="AA211" s="126"/>
      <c r="AB211" s="126"/>
      <c r="AC211" s="126"/>
      <c r="AD211" s="126"/>
      <c r="AE211" s="126"/>
      <c r="AF211" s="126"/>
      <c r="AG211" s="126"/>
      <c r="AH211" s="126"/>
      <c r="AI211" s="126"/>
      <c r="AJ211" s="126"/>
      <c r="AK211" s="126"/>
      <c r="AL211" s="126"/>
      <c r="AM211" s="126"/>
      <c r="AN211" s="126"/>
      <c r="AO211" s="126"/>
      <c r="AP211" s="126"/>
      <c r="AQ211" s="126"/>
      <c r="AR211" s="126"/>
      <c r="AS211" s="126"/>
      <c r="AT211" s="126"/>
      <c r="AU211" s="126"/>
      <c r="AV211" s="126"/>
      <c r="AW211" s="126"/>
      <c r="AX211" s="126"/>
      <c r="AY211" s="126"/>
      <c r="AZ211" s="126"/>
      <c r="BA211" s="126"/>
      <c r="BB211" s="126"/>
      <c r="BC211" s="126"/>
      <c r="BD211" s="130">
        <v>1</v>
      </c>
      <c r="BE211" s="153"/>
      <c r="BF211" s="153"/>
    </row>
    <row r="212" spans="1:58" s="133" customFormat="1" ht="21" customHeight="1" x14ac:dyDescent="0.25">
      <c r="A212" s="126">
        <v>1</v>
      </c>
      <c r="B212" s="786"/>
      <c r="C212" s="447"/>
      <c r="D212" s="448" t="s">
        <v>1669</v>
      </c>
      <c r="E212" s="449">
        <f>IF(E210=0,0,IF(E211=0,0,E211-E210))</f>
        <v>3.7430000000000003</v>
      </c>
      <c r="F212" s="438"/>
      <c r="G212" s="448" t="s">
        <v>1669</v>
      </c>
      <c r="H212" s="449">
        <f>H210-H213</f>
        <v>3.7439755351681958</v>
      </c>
      <c r="I212" s="438"/>
      <c r="J212" s="450" t="s">
        <v>1666</v>
      </c>
      <c r="K212" s="451">
        <f>IF(K210=0,0,IF(ISBLANK(K210),0,K210-K211))</f>
        <v>50</v>
      </c>
      <c r="L212" s="369" t="str">
        <f>HYPERLINK("#"&amp;ADDRESS(ROW(E212),COLUMN(E212),4),"◀"&amp;ADDRESS(ROW(E212),COLUMN(E212),4))</f>
        <v>◀E212</v>
      </c>
      <c r="M212" s="224" t="str">
        <f ca="1">_xlfn.FORMULATEXT(E212)</f>
        <v>=SI(E210=0;0;SI(E211=0;0;E211-E210))</v>
      </c>
      <c r="N212" s="126"/>
      <c r="O212" s="126"/>
      <c r="P212" s="126"/>
      <c r="Q212" s="126"/>
      <c r="R212" s="126"/>
      <c r="S212" s="126"/>
      <c r="T212" s="126"/>
      <c r="U212" s="126"/>
      <c r="V212" s="126"/>
      <c r="W212" s="126"/>
      <c r="X212" s="126"/>
      <c r="Y212" s="126"/>
      <c r="Z212" s="126"/>
      <c r="AA212" s="126"/>
      <c r="AB212" s="126"/>
      <c r="AC212" s="126"/>
      <c r="AD212" s="126"/>
      <c r="AE212" s="126"/>
      <c r="AF212" s="126"/>
      <c r="AG212" s="126"/>
      <c r="AH212" s="126"/>
      <c r="AI212" s="126"/>
      <c r="AJ212" s="126"/>
      <c r="AK212" s="126"/>
      <c r="AL212" s="126"/>
      <c r="AM212" s="126"/>
      <c r="AN212" s="126"/>
      <c r="AO212" s="126"/>
      <c r="AP212" s="126"/>
      <c r="AQ212" s="126"/>
      <c r="AR212" s="126"/>
      <c r="AS212" s="126"/>
      <c r="AT212" s="126"/>
      <c r="AU212" s="126"/>
      <c r="AV212" s="126"/>
      <c r="AW212" s="126"/>
      <c r="AX212" s="126"/>
      <c r="AY212" s="126"/>
      <c r="AZ212" s="126"/>
      <c r="BA212" s="126"/>
      <c r="BB212" s="126"/>
      <c r="BC212" s="126"/>
      <c r="BD212" s="130">
        <v>1</v>
      </c>
      <c r="BE212" s="153"/>
      <c r="BF212" s="153"/>
    </row>
    <row r="213" spans="1:58" s="133" customFormat="1" ht="21" customHeight="1" x14ac:dyDescent="0.25">
      <c r="A213" s="126">
        <v>1</v>
      </c>
      <c r="B213" s="786"/>
      <c r="C213" s="465"/>
      <c r="D213" s="466" t="s">
        <v>1668</v>
      </c>
      <c r="E213" s="467">
        <f>IF(E210=0,0,IF(ISBLANK(E210),0,(E212/E210)*100))</f>
        <v>63.472952348651859</v>
      </c>
      <c r="F213" s="438"/>
      <c r="G213" s="468" t="s">
        <v>1666</v>
      </c>
      <c r="H213" s="469">
        <f>(H210/(100+H211)*100)</f>
        <v>5.8960244648318048</v>
      </c>
      <c r="I213" s="438"/>
      <c r="J213" s="466" t="s">
        <v>1668</v>
      </c>
      <c r="K213" s="470">
        <f>IF(K212=0,0,IF(ISBLANK(K211),0,(K211/K212)*100))</f>
        <v>100</v>
      </c>
      <c r="L213" s="369" t="str">
        <f>HYPERLINK("#"&amp;ADDRESS(ROW(E213),COLUMN(E213),4),"◀"&amp;ADDRESS(ROW(E213),COLUMN(E213),4))</f>
        <v>◀E213</v>
      </c>
      <c r="M213" s="224" t="str">
        <f ca="1">_xlfn.FORMULATEXT(E213)</f>
        <v>=SI(E210=0;0;SI(ESTVIDE(E210);0;(E212/E210)*100))</v>
      </c>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30">
        <v>1</v>
      </c>
    </row>
    <row r="214" spans="1:58" s="133" customFormat="1" ht="21" customHeight="1" x14ac:dyDescent="0.25">
      <c r="A214" s="126">
        <v>1</v>
      </c>
      <c r="B214" s="786"/>
      <c r="C214" s="788" t="s">
        <v>1670</v>
      </c>
      <c r="D214" s="788"/>
      <c r="E214" s="788"/>
      <c r="F214" s="788"/>
      <c r="G214" s="788"/>
      <c r="H214" s="788"/>
      <c r="I214" s="788"/>
      <c r="J214" s="788"/>
      <c r="K214" s="789"/>
      <c r="L214" s="126">
        <v>1</v>
      </c>
      <c r="M214" s="126">
        <v>1</v>
      </c>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126"/>
      <c r="AW214" s="126"/>
      <c r="AX214" s="126"/>
      <c r="AY214" s="126"/>
      <c r="AZ214" s="126"/>
      <c r="BA214" s="126"/>
      <c r="BB214" s="126"/>
      <c r="BC214" s="126"/>
      <c r="BD214" s="130">
        <v>1</v>
      </c>
    </row>
    <row r="215" spans="1:58" s="133" customFormat="1" ht="21" customHeight="1" x14ac:dyDescent="0.25">
      <c r="A215" s="126"/>
      <c r="B215" s="786"/>
      <c r="C215" s="198">
        <v>12</v>
      </c>
      <c r="D215" s="198">
        <v>11</v>
      </c>
      <c r="E215" s="198">
        <v>11</v>
      </c>
      <c r="F215" s="198">
        <v>11</v>
      </c>
      <c r="G215" s="198">
        <v>11</v>
      </c>
      <c r="H215" s="198">
        <v>11</v>
      </c>
      <c r="I215" s="198">
        <v>11</v>
      </c>
      <c r="J215" s="198">
        <v>11</v>
      </c>
      <c r="K215" s="199">
        <v>11</v>
      </c>
      <c r="L215" s="200" t="s">
        <v>1543</v>
      </c>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126"/>
      <c r="AW215" s="126"/>
      <c r="AX215" s="126"/>
      <c r="AY215" s="126"/>
      <c r="AZ215" s="126"/>
      <c r="BA215" s="126"/>
      <c r="BB215" s="126"/>
      <c r="BC215" s="126"/>
      <c r="BD215" s="130">
        <v>1</v>
      </c>
    </row>
    <row r="216" spans="1:58" s="133" customFormat="1" ht="21" customHeight="1" thickBot="1" x14ac:dyDescent="0.3">
      <c r="A216" s="126"/>
      <c r="B216" s="787"/>
      <c r="C216" s="205">
        <f ca="1">CELL("largeur",C216)</f>
        <v>11</v>
      </c>
      <c r="D216" s="205">
        <f t="shared" ref="D216:K216" ca="1" si="11">CELL("largeur",D216)</f>
        <v>18</v>
      </c>
      <c r="E216" s="205">
        <f t="shared" ca="1" si="11"/>
        <v>11</v>
      </c>
      <c r="F216" s="205">
        <f ca="1">CELL("largeur",F216)</f>
        <v>11</v>
      </c>
      <c r="G216" s="205">
        <f t="shared" ca="1" si="11"/>
        <v>11</v>
      </c>
      <c r="H216" s="205">
        <f t="shared" ca="1" si="11"/>
        <v>11</v>
      </c>
      <c r="I216" s="205">
        <f t="shared" ca="1" si="11"/>
        <v>14</v>
      </c>
      <c r="J216" s="205">
        <f t="shared" ca="1" si="11"/>
        <v>16</v>
      </c>
      <c r="K216" s="206">
        <f t="shared" ca="1" si="11"/>
        <v>14</v>
      </c>
      <c r="L216" s="200" t="s">
        <v>1546</v>
      </c>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30">
        <v>1</v>
      </c>
    </row>
    <row r="217" spans="1:58" s="133" customFormat="1" ht="21" customHeight="1" thickBot="1" x14ac:dyDescent="0.3">
      <c r="A217" s="200"/>
      <c r="B217" s="200"/>
      <c r="C217" s="200"/>
      <c r="D217" s="200"/>
      <c r="E217" s="200"/>
      <c r="F217" s="200"/>
      <c r="G217" s="200"/>
      <c r="H217" s="200"/>
      <c r="I217" s="200"/>
      <c r="J217" s="200"/>
      <c r="K217" s="200"/>
      <c r="L217" s="126"/>
      <c r="M217" s="126">
        <v>1</v>
      </c>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c r="AI217" s="126"/>
      <c r="AJ217" s="126"/>
      <c r="AK217" s="126"/>
      <c r="AL217" s="126"/>
      <c r="AM217" s="126"/>
      <c r="AN217" s="126"/>
      <c r="AO217" s="126"/>
      <c r="AP217" s="126"/>
      <c r="AQ217" s="126"/>
      <c r="AR217" s="126"/>
      <c r="AS217" s="126"/>
      <c r="AT217" s="126"/>
      <c r="AU217" s="126"/>
      <c r="AV217" s="126"/>
      <c r="AW217" s="126"/>
      <c r="AX217" s="126"/>
      <c r="AY217" s="126"/>
      <c r="AZ217" s="126"/>
      <c r="BA217" s="126"/>
      <c r="BB217" s="126"/>
      <c r="BC217" s="126"/>
      <c r="BD217" s="130">
        <v>1</v>
      </c>
    </row>
    <row r="218" spans="1:58" s="133" customFormat="1" ht="21" customHeight="1" x14ac:dyDescent="0.25">
      <c r="A218" s="126"/>
      <c r="B218" s="156" t="s">
        <v>1505</v>
      </c>
      <c r="C218" s="471" t="s">
        <v>1671</v>
      </c>
      <c r="D218" s="472"/>
      <c r="E218" s="472"/>
      <c r="F218" s="472"/>
      <c r="G218" s="472"/>
      <c r="H218" s="472"/>
      <c r="I218" s="472"/>
      <c r="J218" s="472"/>
      <c r="K218" s="473" t="s">
        <v>1672</v>
      </c>
      <c r="L218" s="126"/>
      <c r="M218" s="156" t="s">
        <v>1505</v>
      </c>
      <c r="N218" s="792" t="s">
        <v>1673</v>
      </c>
      <c r="O218" s="792"/>
      <c r="P218" s="792"/>
      <c r="Q218" s="792"/>
      <c r="R218" s="792"/>
      <c r="S218" s="792"/>
      <c r="T218" s="793"/>
      <c r="U218" s="126"/>
      <c r="V218" s="126"/>
      <c r="W218" s="126"/>
      <c r="X218" s="126"/>
      <c r="Y218" s="126"/>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30">
        <v>1</v>
      </c>
    </row>
    <row r="219" spans="1:58" s="133" customFormat="1" ht="21" customHeight="1" x14ac:dyDescent="0.25">
      <c r="A219" s="126"/>
      <c r="B219" s="786">
        <v>3</v>
      </c>
      <c r="C219" s="474" t="str">
        <f>ADDRESS(ROW(),COLUMN(),4)</f>
        <v>C219</v>
      </c>
      <c r="D219" s="475"/>
      <c r="E219" s="475"/>
      <c r="F219" s="476"/>
      <c r="G219" s="475"/>
      <c r="H219" s="475"/>
      <c r="I219" s="477"/>
      <c r="J219" s="477"/>
      <c r="K219" s="478"/>
      <c r="L219" s="126"/>
      <c r="M219" s="786">
        <v>3</v>
      </c>
      <c r="N219" s="479" t="str">
        <f>ADDRESS(ROW(),COLUMN(),4)</f>
        <v>N219</v>
      </c>
      <c r="O219" s="432" t="s">
        <v>1665</v>
      </c>
      <c r="P219" s="433"/>
      <c r="Q219" s="433"/>
      <c r="R219" s="433"/>
      <c r="S219" s="433"/>
      <c r="T219" s="434"/>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30">
        <v>1</v>
      </c>
    </row>
    <row r="220" spans="1:58" s="133" customFormat="1" ht="21" customHeight="1" x14ac:dyDescent="0.25">
      <c r="A220" s="126"/>
      <c r="B220" s="786"/>
      <c r="C220" s="476"/>
      <c r="D220" s="480" t="s">
        <v>1674</v>
      </c>
      <c r="E220" s="481">
        <v>1</v>
      </c>
      <c r="F220" s="482"/>
      <c r="G220" s="483" t="s">
        <v>1674</v>
      </c>
      <c r="H220" s="481">
        <v>1</v>
      </c>
      <c r="I220" s="484"/>
      <c r="J220" s="480" t="s">
        <v>1674</v>
      </c>
      <c r="K220" s="485">
        <v>1</v>
      </c>
      <c r="L220" s="126"/>
      <c r="M220" s="786"/>
      <c r="N220" s="794" t="s">
        <v>1675</v>
      </c>
      <c r="O220" s="794"/>
      <c r="P220" s="796" t="s">
        <v>1676</v>
      </c>
      <c r="Q220" s="796"/>
      <c r="R220" s="796"/>
      <c r="S220" s="796"/>
      <c r="T220" s="797"/>
      <c r="U220" s="126"/>
      <c r="V220" s="126"/>
      <c r="W220" s="126"/>
      <c r="X220" s="126"/>
      <c r="Y220" s="126"/>
      <c r="Z220" s="126"/>
      <c r="AA220" s="126"/>
      <c r="AB220" s="126"/>
      <c r="AC220" s="126"/>
      <c r="AD220" s="126"/>
      <c r="AE220" s="126"/>
      <c r="AF220" s="126"/>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30">
        <v>1</v>
      </c>
    </row>
    <row r="221" spans="1:58" s="133" customFormat="1" ht="21" customHeight="1" x14ac:dyDescent="0.25">
      <c r="A221" s="126"/>
      <c r="B221" s="786"/>
      <c r="C221" s="129"/>
      <c r="D221" s="486" t="s">
        <v>1677</v>
      </c>
      <c r="E221" s="487">
        <v>2</v>
      </c>
      <c r="F221" s="488"/>
      <c r="G221" s="489" t="s">
        <v>1678</v>
      </c>
      <c r="H221" s="487">
        <v>2</v>
      </c>
      <c r="I221" s="490"/>
      <c r="J221" s="486" t="s">
        <v>1679</v>
      </c>
      <c r="K221" s="491">
        <v>50</v>
      </c>
      <c r="L221" s="126"/>
      <c r="M221" s="786"/>
      <c r="N221" s="795"/>
      <c r="O221" s="795"/>
      <c r="P221" s="798"/>
      <c r="Q221" s="798"/>
      <c r="R221" s="798"/>
      <c r="S221" s="798"/>
      <c r="T221" s="799"/>
      <c r="U221" s="126"/>
      <c r="V221" s="126"/>
      <c r="W221" s="126"/>
      <c r="X221" s="126"/>
      <c r="Y221" s="126"/>
      <c r="Z221" s="126"/>
      <c r="AA221" s="126"/>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30">
        <v>1</v>
      </c>
    </row>
    <row r="222" spans="1:58" s="133" customFormat="1" ht="21" customHeight="1" x14ac:dyDescent="0.25">
      <c r="A222" s="126"/>
      <c r="B222" s="786"/>
      <c r="C222" s="129"/>
      <c r="D222" s="492" t="s">
        <v>1680</v>
      </c>
      <c r="E222" s="493">
        <f>IF(E220=0,0,IF(E221=0,0,E221-E220))</f>
        <v>1</v>
      </c>
      <c r="F222" s="488"/>
      <c r="G222" s="492" t="s">
        <v>1681</v>
      </c>
      <c r="H222" s="493">
        <f>IF(H220=0,0,H220+H221)</f>
        <v>3</v>
      </c>
      <c r="I222" s="490"/>
      <c r="J222" s="492" t="s">
        <v>1680</v>
      </c>
      <c r="K222" s="494">
        <f>K223*K221%</f>
        <v>1</v>
      </c>
      <c r="L222" s="126"/>
      <c r="M222" s="786"/>
      <c r="N222" s="800" t="s">
        <v>1682</v>
      </c>
      <c r="O222" s="802">
        <f>SUM(N226:N235)</f>
        <v>0.97000000000000008</v>
      </c>
      <c r="P222" s="804" t="str">
        <f>IF(N225&lt;S225,"Recette incomplète, il manque",IF(N225&gt;S225,"Trop de produits dans la recette",IF(N225=S225,"OK")))</f>
        <v>Recette incomplète, il manque</v>
      </c>
      <c r="Q222" s="804"/>
      <c r="R222" s="804"/>
      <c r="S222" s="804"/>
      <c r="T222" s="806">
        <f>IF(N225=S225,"",IF(N225&lt;S225,S225-N225,IF(N225&gt;S225,N225-S225)))</f>
        <v>2.9999999999999916E-2</v>
      </c>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30">
        <v>1</v>
      </c>
    </row>
    <row r="223" spans="1:58" s="133" customFormat="1" ht="21" customHeight="1" x14ac:dyDescent="0.25">
      <c r="A223" s="126"/>
      <c r="B223" s="786"/>
      <c r="C223" s="495"/>
      <c r="D223" s="496" t="s">
        <v>1683</v>
      </c>
      <c r="E223" s="497">
        <f>IF(E220=0,0,IF(E221=0,0,E222/E221))</f>
        <v>0.5</v>
      </c>
      <c r="F223" s="498"/>
      <c r="G223" s="496" t="s">
        <v>1683</v>
      </c>
      <c r="H223" s="497">
        <f>IF(H220=0,0,H221/H222)</f>
        <v>0.66666666666666663</v>
      </c>
      <c r="I223" s="499"/>
      <c r="J223" s="496" t="s">
        <v>1681</v>
      </c>
      <c r="K223" s="500">
        <f>K220/(100-K221)*100</f>
        <v>2</v>
      </c>
      <c r="L223" s="126"/>
      <c r="M223" s="786"/>
      <c r="N223" s="801"/>
      <c r="O223" s="803"/>
      <c r="P223" s="805"/>
      <c r="Q223" s="805"/>
      <c r="R223" s="805"/>
      <c r="S223" s="805"/>
      <c r="T223" s="807"/>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30">
        <v>1</v>
      </c>
    </row>
    <row r="224" spans="1:58" s="133" customFormat="1" ht="21" customHeight="1" x14ac:dyDescent="0.25">
      <c r="A224" s="126"/>
      <c r="B224" s="786"/>
      <c r="C224" s="476"/>
      <c r="D224" s="501" t="s">
        <v>1677</v>
      </c>
      <c r="E224" s="502">
        <v>2</v>
      </c>
      <c r="F224" s="482"/>
      <c r="G224" s="501" t="s">
        <v>1677</v>
      </c>
      <c r="H224" s="502">
        <v>2</v>
      </c>
      <c r="I224" s="484"/>
      <c r="J224" s="501" t="s">
        <v>1677</v>
      </c>
      <c r="K224" s="503">
        <v>1</v>
      </c>
      <c r="L224" s="126"/>
      <c r="M224" s="786"/>
      <c r="N224" s="504" t="s">
        <v>1684</v>
      </c>
      <c r="O224" s="505"/>
      <c r="P224" s="505"/>
      <c r="Q224" s="505"/>
      <c r="R224" s="506" t="s">
        <v>1685</v>
      </c>
      <c r="S224" s="507" t="s">
        <v>1686</v>
      </c>
      <c r="T224" s="508" t="s">
        <v>1687</v>
      </c>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30">
        <v>1</v>
      </c>
    </row>
    <row r="225" spans="1:58" s="133" customFormat="1" ht="21" customHeight="1" x14ac:dyDescent="0.25">
      <c r="A225" s="126"/>
      <c r="B225" s="786"/>
      <c r="C225" s="129"/>
      <c r="D225" s="509" t="s">
        <v>1674</v>
      </c>
      <c r="E225" s="510">
        <v>1</v>
      </c>
      <c r="F225" s="488"/>
      <c r="G225" s="509" t="s">
        <v>1678</v>
      </c>
      <c r="H225" s="510">
        <v>1</v>
      </c>
      <c r="I225" s="490"/>
      <c r="J225" s="509" t="s">
        <v>1679</v>
      </c>
      <c r="K225" s="511">
        <v>50</v>
      </c>
      <c r="L225" s="126"/>
      <c r="M225" s="786"/>
      <c r="N225" s="512">
        <f>SUM(N226:N235)</f>
        <v>0.97000000000000008</v>
      </c>
      <c r="O225" s="513"/>
      <c r="P225" s="514"/>
      <c r="Q225" s="515" t="s">
        <v>1688</v>
      </c>
      <c r="R225" s="516">
        <v>7</v>
      </c>
      <c r="S225" s="517">
        <v>1</v>
      </c>
      <c r="T225" s="518">
        <f>SUM(T226:T235)</f>
        <v>6.9300000000000006</v>
      </c>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6"/>
      <c r="AP225" s="126"/>
      <c r="AQ225" s="126"/>
      <c r="AR225" s="126"/>
      <c r="AS225" s="126"/>
      <c r="AT225" s="126"/>
      <c r="AU225" s="126"/>
      <c r="AV225" s="126"/>
      <c r="AW225" s="126"/>
      <c r="AX225" s="126"/>
      <c r="AY225" s="126"/>
      <c r="AZ225" s="126"/>
      <c r="BA225" s="126"/>
      <c r="BB225" s="126"/>
      <c r="BC225" s="126"/>
      <c r="BD225" s="130">
        <v>1</v>
      </c>
    </row>
    <row r="226" spans="1:58" s="133" customFormat="1" ht="21" customHeight="1" x14ac:dyDescent="0.25">
      <c r="A226" s="126"/>
      <c r="B226" s="786"/>
      <c r="C226" s="129"/>
      <c r="D226" s="492" t="s">
        <v>1680</v>
      </c>
      <c r="E226" s="493">
        <f>IF(E224=0,0,IF(E225=0,0,E224-E225))</f>
        <v>1</v>
      </c>
      <c r="F226" s="488"/>
      <c r="G226" s="492" t="s">
        <v>1689</v>
      </c>
      <c r="H226" s="493">
        <f>IF(H224=0,0,IF(H225=0,0,H224-H225))</f>
        <v>1</v>
      </c>
      <c r="I226" s="490"/>
      <c r="J226" s="492" t="s">
        <v>1680</v>
      </c>
      <c r="K226" s="494">
        <f>K224*K225%</f>
        <v>0.5</v>
      </c>
      <c r="L226" s="126"/>
      <c r="M226" s="786"/>
      <c r="N226" s="519">
        <v>0.12</v>
      </c>
      <c r="O226" s="520" t="s">
        <v>1690</v>
      </c>
      <c r="P226" s="520"/>
      <c r="Q226" s="520"/>
      <c r="R226" s="521">
        <f>R225*N226</f>
        <v>0.84</v>
      </c>
      <c r="S226" s="522">
        <v>0</v>
      </c>
      <c r="T226" s="523">
        <f t="shared" ref="T226:T235" si="12">IF(S226=0,R226,IF(R226="","",R226/(100-S226)*100))</f>
        <v>0.84</v>
      </c>
      <c r="U226" s="126"/>
      <c r="V226" s="126"/>
      <c r="W226" s="126"/>
      <c r="X226" s="126"/>
      <c r="Y226" s="126"/>
      <c r="Z226" s="126"/>
      <c r="AA226" s="126"/>
      <c r="AB226" s="126"/>
      <c r="AC226" s="126"/>
      <c r="AD226" s="126"/>
      <c r="AE226" s="126"/>
      <c r="AF226" s="126"/>
      <c r="AG226" s="126"/>
      <c r="AH226" s="126"/>
      <c r="AI226" s="126"/>
      <c r="AJ226" s="126"/>
      <c r="AK226" s="126"/>
      <c r="AL226" s="126"/>
      <c r="AM226" s="126"/>
      <c r="AN226" s="126"/>
      <c r="AO226" s="126"/>
      <c r="AP226" s="126"/>
      <c r="AQ226" s="126"/>
      <c r="AR226" s="126"/>
      <c r="AS226" s="126"/>
      <c r="AT226" s="126"/>
      <c r="AU226" s="126"/>
      <c r="AV226" s="126"/>
      <c r="AW226" s="126"/>
      <c r="AX226" s="126"/>
      <c r="AY226" s="126"/>
      <c r="AZ226" s="126"/>
      <c r="BA226" s="126"/>
      <c r="BB226" s="126"/>
      <c r="BC226" s="126"/>
      <c r="BD226" s="130">
        <v>1</v>
      </c>
    </row>
    <row r="227" spans="1:58" s="133" customFormat="1" ht="21" customHeight="1" x14ac:dyDescent="0.25">
      <c r="A227" s="126"/>
      <c r="B227" s="786"/>
      <c r="C227" s="495"/>
      <c r="D227" s="496" t="s">
        <v>1683</v>
      </c>
      <c r="E227" s="497">
        <f>IF(E224=0,0,E226/E224)</f>
        <v>0.5</v>
      </c>
      <c r="F227" s="498"/>
      <c r="G227" s="496" t="s">
        <v>1683</v>
      </c>
      <c r="H227" s="497">
        <f>IF(H224=0,0,IF(H225=0,0,H225/H224))</f>
        <v>0.5</v>
      </c>
      <c r="I227" s="499"/>
      <c r="J227" s="496" t="s">
        <v>1689</v>
      </c>
      <c r="K227" s="524">
        <f>K224-K226</f>
        <v>0.5</v>
      </c>
      <c r="L227" s="126"/>
      <c r="M227" s="786"/>
      <c r="N227" s="519">
        <v>0.08</v>
      </c>
      <c r="O227" s="520" t="s">
        <v>1691</v>
      </c>
      <c r="P227" s="520"/>
      <c r="Q227" s="520"/>
      <c r="R227" s="525">
        <f>R225*N227</f>
        <v>0.56000000000000005</v>
      </c>
      <c r="S227" s="526">
        <v>0</v>
      </c>
      <c r="T227" s="523">
        <f t="shared" si="12"/>
        <v>0.56000000000000005</v>
      </c>
      <c r="U227" s="126"/>
      <c r="V227" s="126"/>
      <c r="W227" s="126"/>
      <c r="X227" s="126"/>
      <c r="Y227" s="126"/>
      <c r="Z227" s="126"/>
      <c r="AA227" s="126"/>
      <c r="AB227" s="126"/>
      <c r="AC227" s="126"/>
      <c r="AD227" s="126"/>
      <c r="AE227" s="126"/>
      <c r="AF227" s="126"/>
      <c r="AG227" s="126"/>
      <c r="AH227" s="126"/>
      <c r="AI227" s="126"/>
      <c r="AJ227" s="126"/>
      <c r="AK227" s="126"/>
      <c r="AL227" s="126"/>
      <c r="AM227" s="126"/>
      <c r="AN227" s="126"/>
      <c r="AO227" s="126"/>
      <c r="AP227" s="126"/>
      <c r="AQ227" s="126"/>
      <c r="AR227" s="126"/>
      <c r="AS227" s="126"/>
      <c r="AT227" s="126"/>
      <c r="AU227" s="126"/>
      <c r="AV227" s="126"/>
      <c r="AW227" s="126"/>
      <c r="AX227" s="126"/>
      <c r="AY227" s="126"/>
      <c r="AZ227" s="126"/>
      <c r="BA227" s="126"/>
      <c r="BB227" s="126"/>
      <c r="BC227" s="126"/>
      <c r="BD227" s="130">
        <v>1</v>
      </c>
    </row>
    <row r="228" spans="1:58" s="133" customFormat="1" ht="21" customHeight="1" x14ac:dyDescent="0.25">
      <c r="A228" s="126"/>
      <c r="B228" s="786"/>
      <c r="C228" s="808" t="s">
        <v>1670</v>
      </c>
      <c r="D228" s="808"/>
      <c r="E228" s="808"/>
      <c r="F228" s="808"/>
      <c r="G228" s="808"/>
      <c r="H228" s="808"/>
      <c r="I228" s="808"/>
      <c r="J228" s="808"/>
      <c r="K228" s="809"/>
      <c r="L228" s="126"/>
      <c r="M228" s="786"/>
      <c r="N228" s="519">
        <v>0.2</v>
      </c>
      <c r="O228" s="520" t="s">
        <v>1692</v>
      </c>
      <c r="P228" s="520"/>
      <c r="Q228" s="520"/>
      <c r="R228" s="525">
        <f>R225*N228</f>
        <v>1.4000000000000001</v>
      </c>
      <c r="S228" s="526">
        <v>0</v>
      </c>
      <c r="T228" s="523">
        <f t="shared" si="12"/>
        <v>1.4000000000000001</v>
      </c>
      <c r="U228" s="126"/>
      <c r="V228" s="126"/>
      <c r="W228" s="126"/>
      <c r="X228" s="126"/>
      <c r="Y228" s="126"/>
      <c r="Z228" s="126"/>
      <c r="AA228" s="126"/>
      <c r="AB228" s="126"/>
      <c r="AC228" s="126"/>
      <c r="AD228" s="126"/>
      <c r="AE228" s="126"/>
      <c r="AF228" s="126"/>
      <c r="AG228" s="126"/>
      <c r="AH228" s="126"/>
      <c r="AI228" s="126"/>
      <c r="AJ228" s="126"/>
      <c r="AK228" s="126"/>
      <c r="AL228" s="126"/>
      <c r="AM228" s="126"/>
      <c r="AN228" s="126"/>
      <c r="AO228" s="126"/>
      <c r="AP228" s="126"/>
      <c r="AQ228" s="126"/>
      <c r="AR228" s="126"/>
      <c r="AS228" s="126"/>
      <c r="AT228" s="126"/>
      <c r="AU228" s="126"/>
      <c r="AV228" s="126"/>
      <c r="AW228" s="126"/>
      <c r="AX228" s="126"/>
      <c r="AY228" s="126"/>
      <c r="AZ228" s="126"/>
      <c r="BA228" s="126"/>
      <c r="BB228" s="126"/>
      <c r="BC228" s="126"/>
      <c r="BD228" s="130">
        <v>1</v>
      </c>
    </row>
    <row r="229" spans="1:58" s="133" customFormat="1" ht="21" customHeight="1" x14ac:dyDescent="0.25">
      <c r="A229" s="126"/>
      <c r="B229" s="786"/>
      <c r="C229" s="198">
        <v>8</v>
      </c>
      <c r="D229" s="198">
        <v>8</v>
      </c>
      <c r="E229" s="198">
        <v>11</v>
      </c>
      <c r="F229" s="198">
        <v>8</v>
      </c>
      <c r="G229" s="198">
        <v>8</v>
      </c>
      <c r="H229" s="198">
        <v>11</v>
      </c>
      <c r="I229" s="198">
        <v>8</v>
      </c>
      <c r="J229" s="198">
        <v>8</v>
      </c>
      <c r="K229" s="199">
        <v>11</v>
      </c>
      <c r="L229" s="126"/>
      <c r="M229" s="786"/>
      <c r="N229" s="519">
        <v>0.55000000000000004</v>
      </c>
      <c r="O229" s="520" t="s">
        <v>1693</v>
      </c>
      <c r="P229" s="520"/>
      <c r="Q229" s="520"/>
      <c r="R229" s="525">
        <f>R225*N229</f>
        <v>3.8500000000000005</v>
      </c>
      <c r="S229" s="526">
        <v>0</v>
      </c>
      <c r="T229" s="523">
        <f t="shared" si="12"/>
        <v>3.8500000000000005</v>
      </c>
      <c r="U229" s="126"/>
      <c r="V229" s="126"/>
      <c r="W229" s="126"/>
      <c r="X229" s="126"/>
      <c r="Y229" s="126"/>
      <c r="Z229" s="126"/>
      <c r="AA229" s="126"/>
      <c r="AB229" s="126"/>
      <c r="AC229" s="126"/>
      <c r="AD229" s="126"/>
      <c r="AE229" s="126"/>
      <c r="AF229" s="126"/>
      <c r="AG229" s="126"/>
      <c r="AH229" s="126"/>
      <c r="AI229" s="126"/>
      <c r="AJ229" s="126"/>
      <c r="AK229" s="126"/>
      <c r="AL229" s="126"/>
      <c r="AM229" s="126"/>
      <c r="AN229" s="126"/>
      <c r="AO229" s="126"/>
      <c r="AP229" s="126"/>
      <c r="AQ229" s="126"/>
      <c r="AR229" s="126"/>
      <c r="AS229" s="126"/>
      <c r="AT229" s="126"/>
      <c r="AU229" s="126"/>
      <c r="AV229" s="126"/>
      <c r="AW229" s="126"/>
      <c r="AX229" s="126"/>
      <c r="AY229" s="126"/>
      <c r="AZ229" s="126"/>
      <c r="BA229" s="126"/>
      <c r="BB229" s="126"/>
      <c r="BC229" s="126"/>
      <c r="BD229" s="130">
        <v>1</v>
      </c>
    </row>
    <row r="230" spans="1:58" s="133" customFormat="1" ht="21" customHeight="1" thickBot="1" x14ac:dyDescent="0.3">
      <c r="A230" s="126"/>
      <c r="B230" s="787"/>
      <c r="C230" s="205">
        <f t="shared" ref="C230:K230" ca="1" si="13">CELL("largeur",C230)</f>
        <v>11</v>
      </c>
      <c r="D230" s="205">
        <f t="shared" ca="1" si="13"/>
        <v>18</v>
      </c>
      <c r="E230" s="205">
        <f t="shared" ca="1" si="13"/>
        <v>11</v>
      </c>
      <c r="F230" s="205">
        <f t="shared" ca="1" si="13"/>
        <v>11</v>
      </c>
      <c r="G230" s="205">
        <f t="shared" ca="1" si="13"/>
        <v>11</v>
      </c>
      <c r="H230" s="205">
        <f t="shared" ca="1" si="13"/>
        <v>11</v>
      </c>
      <c r="I230" s="205">
        <f t="shared" ca="1" si="13"/>
        <v>14</v>
      </c>
      <c r="J230" s="205">
        <f t="shared" ca="1" si="13"/>
        <v>16</v>
      </c>
      <c r="K230" s="206">
        <f t="shared" ca="1" si="13"/>
        <v>14</v>
      </c>
      <c r="L230" s="126"/>
      <c r="M230" s="786"/>
      <c r="N230" s="519">
        <v>0.02</v>
      </c>
      <c r="O230" s="520" t="s">
        <v>1694</v>
      </c>
      <c r="P230" s="520"/>
      <c r="Q230" s="520"/>
      <c r="R230" s="525">
        <f>R225*N230</f>
        <v>0.14000000000000001</v>
      </c>
      <c r="S230" s="526">
        <v>50</v>
      </c>
      <c r="T230" s="523">
        <f t="shared" si="12"/>
        <v>0.28000000000000003</v>
      </c>
      <c r="U230" s="126"/>
      <c r="V230" s="126"/>
      <c r="W230" s="126"/>
      <c r="X230" s="126"/>
      <c r="Y230" s="126"/>
      <c r="Z230" s="126"/>
      <c r="AA230" s="126"/>
      <c r="AB230" s="126"/>
      <c r="AC230" s="126"/>
      <c r="AD230" s="126"/>
      <c r="AE230" s="126"/>
      <c r="AF230" s="126"/>
      <c r="AG230" s="126"/>
      <c r="AH230" s="126"/>
      <c r="AI230" s="126"/>
      <c r="AJ230" s="126"/>
      <c r="AK230" s="126"/>
      <c r="AL230" s="126"/>
      <c r="AM230" s="126"/>
      <c r="AN230" s="126"/>
      <c r="AO230" s="126"/>
      <c r="AP230" s="126"/>
      <c r="AQ230" s="126"/>
      <c r="AR230" s="126"/>
      <c r="AS230" s="126"/>
      <c r="AT230" s="126"/>
      <c r="AU230" s="126"/>
      <c r="AV230" s="126"/>
      <c r="AW230" s="126"/>
      <c r="AX230" s="126"/>
      <c r="AY230" s="126"/>
      <c r="AZ230" s="126"/>
      <c r="BA230" s="126"/>
      <c r="BB230" s="126"/>
      <c r="BC230" s="126"/>
      <c r="BD230" s="130">
        <v>1</v>
      </c>
    </row>
    <row r="231" spans="1:58" s="133" customFormat="1" ht="21" customHeight="1" thickBot="1" x14ac:dyDescent="0.3">
      <c r="A231" s="126">
        <v>1</v>
      </c>
      <c r="B231" s="126">
        <v>1</v>
      </c>
      <c r="C231" s="126">
        <v>1</v>
      </c>
      <c r="D231" s="126">
        <v>1</v>
      </c>
      <c r="E231" s="126">
        <v>1</v>
      </c>
      <c r="F231" s="126">
        <v>1</v>
      </c>
      <c r="G231" s="126">
        <v>1</v>
      </c>
      <c r="H231" s="126">
        <v>1</v>
      </c>
      <c r="I231" s="126"/>
      <c r="J231" s="126"/>
      <c r="K231" s="126"/>
      <c r="L231" s="126"/>
      <c r="M231" s="786"/>
      <c r="N231" s="519"/>
      <c r="O231" s="520"/>
      <c r="P231" s="520"/>
      <c r="Q231" s="520"/>
      <c r="R231" s="525">
        <f>R225*N231</f>
        <v>0</v>
      </c>
      <c r="S231" s="526"/>
      <c r="T231" s="523">
        <f t="shared" si="12"/>
        <v>0</v>
      </c>
      <c r="U231" s="126"/>
      <c r="V231" s="126"/>
      <c r="W231" s="126"/>
      <c r="X231" s="126"/>
      <c r="Y231" s="126"/>
      <c r="Z231" s="126"/>
      <c r="AA231" s="126"/>
      <c r="AB231" s="126"/>
      <c r="AC231" s="126"/>
      <c r="AD231" s="126"/>
      <c r="AE231" s="126"/>
      <c r="AF231" s="126"/>
      <c r="AG231" s="126"/>
      <c r="AH231" s="126"/>
      <c r="AI231" s="126"/>
      <c r="AJ231" s="126"/>
      <c r="AK231" s="126"/>
      <c r="AL231" s="126"/>
      <c r="AM231" s="126"/>
      <c r="AN231" s="126"/>
      <c r="AO231" s="126"/>
      <c r="AP231" s="126"/>
      <c r="AQ231" s="126"/>
      <c r="AR231" s="126"/>
      <c r="AS231" s="126"/>
      <c r="AT231" s="126"/>
      <c r="AU231" s="126"/>
      <c r="AV231" s="126"/>
      <c r="AW231" s="126"/>
      <c r="AX231" s="126"/>
      <c r="AY231" s="126"/>
      <c r="AZ231" s="126"/>
      <c r="BA231" s="126"/>
      <c r="BB231" s="126"/>
      <c r="BC231" s="126"/>
      <c r="BD231" s="130">
        <v>1</v>
      </c>
    </row>
    <row r="232" spans="1:58" s="133" customFormat="1" ht="21" customHeight="1" x14ac:dyDescent="0.25">
      <c r="A232" s="126">
        <v>1</v>
      </c>
      <c r="B232" s="156" t="s">
        <v>1505</v>
      </c>
      <c r="C232" s="814" t="s">
        <v>1695</v>
      </c>
      <c r="D232" s="814"/>
      <c r="E232" s="814"/>
      <c r="F232" s="814"/>
      <c r="G232" s="814"/>
      <c r="H232" s="815"/>
      <c r="I232" s="126"/>
      <c r="J232" s="126"/>
      <c r="K232" s="126"/>
      <c r="L232" s="126"/>
      <c r="M232" s="786"/>
      <c r="N232" s="519"/>
      <c r="O232" s="520"/>
      <c r="P232" s="520"/>
      <c r="Q232" s="520"/>
      <c r="R232" s="525">
        <f>R225*N232</f>
        <v>0</v>
      </c>
      <c r="S232" s="526"/>
      <c r="T232" s="523">
        <f t="shared" si="12"/>
        <v>0</v>
      </c>
      <c r="U232" s="126"/>
      <c r="V232" s="126"/>
      <c r="W232" s="126"/>
      <c r="X232" s="126"/>
      <c r="Y232" s="126"/>
      <c r="Z232" s="126"/>
      <c r="AA232" s="126"/>
      <c r="AB232" s="126"/>
      <c r="AC232" s="126"/>
      <c r="AD232" s="126"/>
      <c r="AE232" s="126"/>
      <c r="AF232" s="126"/>
      <c r="AG232" s="126"/>
      <c r="AH232" s="126"/>
      <c r="AI232" s="126"/>
      <c r="AJ232" s="126"/>
      <c r="AK232" s="126"/>
      <c r="AL232" s="126"/>
      <c r="AM232" s="126"/>
      <c r="AN232" s="126"/>
      <c r="AO232" s="126"/>
      <c r="AP232" s="126"/>
      <c r="AQ232" s="126"/>
      <c r="AR232" s="126"/>
      <c r="AS232" s="126"/>
      <c r="AT232" s="126"/>
      <c r="AU232" s="126"/>
      <c r="AV232" s="126"/>
      <c r="AW232" s="126"/>
      <c r="AX232" s="126"/>
      <c r="AY232" s="126"/>
      <c r="AZ232" s="126"/>
      <c r="BA232" s="126"/>
      <c r="BB232" s="126"/>
      <c r="BC232" s="126"/>
      <c r="BD232" s="130">
        <v>1</v>
      </c>
    </row>
    <row r="233" spans="1:58" s="133" customFormat="1" ht="21" customHeight="1" x14ac:dyDescent="0.25">
      <c r="A233" s="126">
        <v>1</v>
      </c>
      <c r="B233" s="816">
        <v>3</v>
      </c>
      <c r="C233" s="479" t="str">
        <f>ADDRESS(ROW(),COLUMN(),4)</f>
        <v>C233</v>
      </c>
      <c r="D233" s="432" t="s">
        <v>1665</v>
      </c>
      <c r="E233" s="527"/>
      <c r="F233" s="528"/>
      <c r="G233" s="529"/>
      <c r="H233" s="530"/>
      <c r="I233" s="126"/>
      <c r="J233" s="126"/>
      <c r="K233" s="126"/>
      <c r="L233" s="126"/>
      <c r="M233" s="786"/>
      <c r="N233" s="519"/>
      <c r="O233" s="520"/>
      <c r="P233" s="520"/>
      <c r="Q233" s="520"/>
      <c r="R233" s="525">
        <f>R225*N233</f>
        <v>0</v>
      </c>
      <c r="S233" s="526"/>
      <c r="T233" s="523">
        <f t="shared" si="12"/>
        <v>0</v>
      </c>
      <c r="U233" s="126"/>
      <c r="V233" s="126"/>
      <c r="W233" s="126"/>
      <c r="X233" s="126"/>
      <c r="Y233" s="126"/>
      <c r="Z233" s="126"/>
      <c r="AA233" s="126"/>
      <c r="AB233" s="126"/>
      <c r="AC233" s="126"/>
      <c r="AD233" s="126"/>
      <c r="AE233" s="126"/>
      <c r="AF233" s="126"/>
      <c r="AG233" s="126"/>
      <c r="AH233" s="126"/>
      <c r="AI233" s="126"/>
      <c r="AJ233" s="126"/>
      <c r="AK233" s="126"/>
      <c r="AL233" s="126"/>
      <c r="AM233" s="126"/>
      <c r="AN233" s="126"/>
      <c r="AO233" s="126"/>
      <c r="AP233" s="126"/>
      <c r="AQ233" s="126"/>
      <c r="AR233" s="126"/>
      <c r="AS233" s="126"/>
      <c r="AT233" s="126"/>
      <c r="AU233" s="126"/>
      <c r="AV233" s="126"/>
      <c r="AW233" s="126"/>
      <c r="AX233" s="126"/>
      <c r="AY233" s="126"/>
      <c r="AZ233" s="126"/>
      <c r="BA233" s="126"/>
      <c r="BB233" s="126"/>
      <c r="BC233" s="126"/>
      <c r="BD233" s="130">
        <v>1</v>
      </c>
    </row>
    <row r="234" spans="1:58" s="133" customFormat="1" ht="21" customHeight="1" x14ac:dyDescent="0.25">
      <c r="A234" s="126">
        <v>1</v>
      </c>
      <c r="B234" s="816"/>
      <c r="C234" s="779" t="s">
        <v>1696</v>
      </c>
      <c r="D234" s="779"/>
      <c r="E234" s="532" t="s">
        <v>1697</v>
      </c>
      <c r="F234" s="531" t="s">
        <v>1698</v>
      </c>
      <c r="G234" s="780" t="s">
        <v>1699</v>
      </c>
      <c r="H234" s="781"/>
      <c r="I234" s="126"/>
      <c r="J234" s="126"/>
      <c r="K234" s="126"/>
      <c r="L234" s="126"/>
      <c r="M234" s="786"/>
      <c r="N234" s="519"/>
      <c r="O234" s="520"/>
      <c r="P234" s="520"/>
      <c r="Q234" s="520"/>
      <c r="R234" s="525">
        <f>R225*N234</f>
        <v>0</v>
      </c>
      <c r="S234" s="526"/>
      <c r="T234" s="523">
        <f t="shared" si="12"/>
        <v>0</v>
      </c>
      <c r="U234" s="126"/>
      <c r="V234" s="126"/>
      <c r="W234" s="126"/>
      <c r="X234" s="126"/>
      <c r="Y234" s="126"/>
      <c r="Z234" s="126"/>
      <c r="AA234" s="126"/>
      <c r="AB234" s="126"/>
      <c r="AC234" s="126"/>
      <c r="AD234" s="126"/>
      <c r="AE234" s="126"/>
      <c r="AF234" s="126"/>
      <c r="AG234" s="126"/>
      <c r="AH234" s="126"/>
      <c r="AI234" s="126"/>
      <c r="AJ234" s="126"/>
      <c r="AK234" s="126"/>
      <c r="AL234" s="126"/>
      <c r="AM234" s="126"/>
      <c r="AN234" s="126"/>
      <c r="AO234" s="126"/>
      <c r="AP234" s="126"/>
      <c r="AQ234" s="126"/>
      <c r="AR234" s="126"/>
      <c r="AS234" s="126"/>
      <c r="AT234" s="126"/>
      <c r="AU234" s="126"/>
      <c r="AV234" s="126"/>
      <c r="AW234" s="126"/>
      <c r="AX234" s="126"/>
      <c r="AY234" s="126"/>
      <c r="AZ234" s="126"/>
      <c r="BA234" s="126"/>
      <c r="BB234" s="126"/>
      <c r="BC234" s="126"/>
      <c r="BD234" s="130">
        <v>1</v>
      </c>
    </row>
    <row r="235" spans="1:58" s="133" customFormat="1" ht="21" customHeight="1" x14ac:dyDescent="0.25">
      <c r="A235" s="126">
        <v>1</v>
      </c>
      <c r="B235" s="816"/>
      <c r="C235" s="790">
        <v>20</v>
      </c>
      <c r="D235" s="791">
        <f>C235/100</f>
        <v>0.2</v>
      </c>
      <c r="E235" s="533" t="s">
        <v>1700</v>
      </c>
      <c r="F235" s="534">
        <v>1</v>
      </c>
      <c r="G235" s="535">
        <f>(C235*F235)*10</f>
        <v>200</v>
      </c>
      <c r="H235" s="536">
        <f>G235/1000</f>
        <v>0.2</v>
      </c>
      <c r="I235" s="126"/>
      <c r="J235" s="126"/>
      <c r="K235" s="126"/>
      <c r="L235" s="126"/>
      <c r="M235" s="786"/>
      <c r="N235" s="537"/>
      <c r="O235" s="538"/>
      <c r="P235" s="538"/>
      <c r="Q235" s="538"/>
      <c r="R235" s="539">
        <f>R225*N235</f>
        <v>0</v>
      </c>
      <c r="S235" s="540"/>
      <c r="T235" s="541">
        <f t="shared" si="12"/>
        <v>0</v>
      </c>
      <c r="U235" s="126"/>
      <c r="V235" s="126"/>
      <c r="W235" s="126"/>
      <c r="X235" s="126"/>
      <c r="Y235" s="126"/>
      <c r="Z235" s="126"/>
      <c r="AA235" s="126"/>
      <c r="AB235" s="126"/>
      <c r="AC235" s="126"/>
      <c r="AD235" s="126"/>
      <c r="AE235" s="126"/>
      <c r="AF235" s="126"/>
      <c r="AG235" s="126"/>
      <c r="AH235" s="126"/>
      <c r="AI235" s="126"/>
      <c r="AJ235" s="126"/>
      <c r="AK235" s="126"/>
      <c r="AL235" s="126"/>
      <c r="AM235" s="126"/>
      <c r="AN235" s="126"/>
      <c r="AO235" s="126"/>
      <c r="AP235" s="126"/>
      <c r="AQ235" s="126"/>
      <c r="AR235" s="126"/>
      <c r="AS235" s="126"/>
      <c r="AT235" s="126"/>
      <c r="AU235" s="126"/>
      <c r="AV235" s="126"/>
      <c r="AW235" s="126"/>
      <c r="AX235" s="126"/>
      <c r="AY235" s="126"/>
      <c r="AZ235" s="126"/>
      <c r="BA235" s="126"/>
      <c r="BB235" s="126"/>
      <c r="BC235" s="126"/>
      <c r="BD235" s="130">
        <v>1</v>
      </c>
    </row>
    <row r="236" spans="1:58" s="133" customFormat="1" ht="21" customHeight="1" x14ac:dyDescent="0.25">
      <c r="A236" s="126">
        <v>1</v>
      </c>
      <c r="B236" s="816"/>
      <c r="C236" s="790"/>
      <c r="D236" s="791"/>
      <c r="E236" s="533" t="s">
        <v>1701</v>
      </c>
      <c r="F236" s="534">
        <v>1.03</v>
      </c>
      <c r="G236" s="535">
        <f>(C235*F236)*10</f>
        <v>206</v>
      </c>
      <c r="H236" s="536">
        <f>G236/1000</f>
        <v>0.20599999999999999</v>
      </c>
      <c r="I236" s="126"/>
      <c r="J236" s="126"/>
      <c r="K236" s="126"/>
      <c r="L236" s="126"/>
      <c r="M236" s="786"/>
      <c r="N236" s="810" t="s">
        <v>1702</v>
      </c>
      <c r="O236" s="810"/>
      <c r="P236" s="810"/>
      <c r="Q236" s="810"/>
      <c r="R236" s="810"/>
      <c r="S236" s="810"/>
      <c r="T236" s="811"/>
      <c r="U236" s="126"/>
      <c r="V236" s="126"/>
      <c r="W236" s="126"/>
      <c r="X236" s="126"/>
      <c r="Y236" s="126"/>
      <c r="Z236" s="126"/>
      <c r="AA236" s="126"/>
      <c r="AB236" s="126"/>
      <c r="AC236" s="126"/>
      <c r="AD236" s="126"/>
      <c r="AE236" s="126"/>
      <c r="AF236" s="126"/>
      <c r="AG236" s="126"/>
      <c r="AH236" s="126"/>
      <c r="AI236" s="126"/>
      <c r="AJ236" s="126"/>
      <c r="AK236" s="126"/>
      <c r="AL236" s="126"/>
      <c r="AM236" s="126"/>
      <c r="AN236" s="126"/>
      <c r="AO236" s="126"/>
      <c r="AP236" s="126"/>
      <c r="AQ236" s="126"/>
      <c r="AR236" s="126"/>
      <c r="AS236" s="126"/>
      <c r="AT236" s="126"/>
      <c r="AU236" s="126"/>
      <c r="AV236" s="126"/>
      <c r="AW236" s="126"/>
      <c r="AX236" s="126"/>
      <c r="AY236" s="126"/>
      <c r="AZ236" s="126"/>
      <c r="BA236" s="126"/>
      <c r="BB236" s="126"/>
      <c r="BC236" s="126"/>
      <c r="BD236" s="130">
        <v>1</v>
      </c>
    </row>
    <row r="237" spans="1:58" s="133" customFormat="1" ht="21" customHeight="1" x14ac:dyDescent="0.25">
      <c r="A237" s="126">
        <v>1</v>
      </c>
      <c r="B237" s="816"/>
      <c r="C237" s="790"/>
      <c r="D237" s="791"/>
      <c r="E237" s="533" t="s">
        <v>1703</v>
      </c>
      <c r="F237" s="534">
        <v>1.0149999999999999</v>
      </c>
      <c r="G237" s="535">
        <f>(F237*C235)*10</f>
        <v>202.99999999999997</v>
      </c>
      <c r="H237" s="536">
        <f>G237/1000</f>
        <v>0.20299999999999996</v>
      </c>
      <c r="I237" s="126"/>
      <c r="J237" s="126"/>
      <c r="K237" s="126"/>
      <c r="L237" s="126"/>
      <c r="M237" s="786"/>
      <c r="N237" s="542"/>
      <c r="O237" s="542" t="s">
        <v>1704</v>
      </c>
      <c r="P237" s="543"/>
      <c r="Q237" s="544" t="s">
        <v>1705</v>
      </c>
      <c r="R237" s="545"/>
      <c r="S237" s="545"/>
      <c r="T237" s="54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6"/>
      <c r="AP237" s="126"/>
      <c r="AQ237" s="126"/>
      <c r="AR237" s="126"/>
      <c r="AS237" s="126"/>
      <c r="AT237" s="126"/>
      <c r="AU237" s="126"/>
      <c r="AV237" s="126"/>
      <c r="AW237" s="126"/>
      <c r="AX237" s="126"/>
      <c r="AY237" s="126"/>
      <c r="AZ237" s="126"/>
      <c r="BA237" s="126"/>
      <c r="BB237" s="126"/>
      <c r="BC237" s="126"/>
      <c r="BD237" s="130">
        <v>1</v>
      </c>
    </row>
    <row r="238" spans="1:58" s="133" customFormat="1" ht="21" customHeight="1" x14ac:dyDescent="0.25">
      <c r="A238" s="126">
        <v>1</v>
      </c>
      <c r="B238" s="816"/>
      <c r="C238" s="790"/>
      <c r="D238" s="791"/>
      <c r="E238" s="533" t="s">
        <v>1706</v>
      </c>
      <c r="F238" s="534">
        <v>0.92</v>
      </c>
      <c r="G238" s="535">
        <f>(F238*C235)*10</f>
        <v>184.00000000000003</v>
      </c>
      <c r="H238" s="536">
        <f>G238/1000</f>
        <v>0.18400000000000002</v>
      </c>
      <c r="I238" s="126"/>
      <c r="J238" s="126"/>
      <c r="K238" s="126"/>
      <c r="L238" s="126"/>
      <c r="M238" s="786"/>
      <c r="N238" s="543"/>
      <c r="O238" s="543" t="s">
        <v>1707</v>
      </c>
      <c r="P238" s="543"/>
      <c r="Q238" s="543" t="s">
        <v>1708</v>
      </c>
      <c r="R238" s="545"/>
      <c r="S238" s="543" t="s">
        <v>1686</v>
      </c>
      <c r="T238" s="546"/>
      <c r="U238" s="126"/>
      <c r="V238" s="126"/>
      <c r="W238" s="126"/>
      <c r="X238" s="126"/>
      <c r="Y238" s="126"/>
      <c r="Z238" s="126"/>
      <c r="AA238" s="126"/>
      <c r="AB238" s="126"/>
      <c r="AC238" s="126"/>
      <c r="AD238" s="126"/>
      <c r="AE238" s="126"/>
      <c r="AF238" s="126"/>
      <c r="AG238" s="126"/>
      <c r="AH238" s="126"/>
      <c r="AI238" s="126"/>
      <c r="AJ238" s="126"/>
      <c r="AK238" s="126"/>
      <c r="AL238" s="126"/>
      <c r="AM238" s="126"/>
      <c r="AN238" s="126"/>
      <c r="AO238" s="126"/>
      <c r="AP238" s="126"/>
      <c r="AQ238" s="126"/>
      <c r="AR238" s="126"/>
      <c r="AS238" s="126"/>
      <c r="AT238" s="126"/>
      <c r="AU238" s="126"/>
      <c r="AV238" s="126"/>
      <c r="AW238" s="126"/>
      <c r="AX238" s="126"/>
      <c r="AY238" s="126"/>
      <c r="AZ238" s="126"/>
      <c r="BA238" s="126"/>
      <c r="BB238" s="126"/>
      <c r="BC238" s="126"/>
      <c r="BD238" s="130">
        <v>1</v>
      </c>
    </row>
    <row r="239" spans="1:58" ht="21" customHeight="1" x14ac:dyDescent="0.25">
      <c r="A239" s="126">
        <v>1</v>
      </c>
      <c r="B239" s="816"/>
      <c r="C239" s="790"/>
      <c r="D239" s="791"/>
      <c r="E239" s="533" t="s">
        <v>1709</v>
      </c>
      <c r="F239" s="534">
        <v>0.8</v>
      </c>
      <c r="G239" s="535">
        <f>(F239*C235)*10</f>
        <v>160</v>
      </c>
      <c r="H239" s="536">
        <f>G239/1000</f>
        <v>0.16</v>
      </c>
      <c r="I239" s="126"/>
      <c r="J239" s="126"/>
      <c r="K239" s="126"/>
      <c r="L239" s="126"/>
      <c r="M239" s="786"/>
      <c r="N239" s="198">
        <v>10</v>
      </c>
      <c r="O239" s="198">
        <v>10</v>
      </c>
      <c r="P239" s="198">
        <v>10</v>
      </c>
      <c r="Q239" s="198">
        <v>10</v>
      </c>
      <c r="R239" s="198">
        <v>13</v>
      </c>
      <c r="S239" s="198">
        <v>8</v>
      </c>
      <c r="T239" s="199">
        <v>13</v>
      </c>
      <c r="U239" s="126"/>
      <c r="V239" s="126"/>
      <c r="W239" s="126"/>
      <c r="X239" s="126"/>
      <c r="Y239" s="126"/>
      <c r="Z239" s="126"/>
      <c r="AA239" s="126"/>
      <c r="AB239" s="126"/>
      <c r="AC239" s="126"/>
      <c r="AD239" s="126"/>
      <c r="AE239" s="126"/>
      <c r="AF239" s="126"/>
      <c r="AG239" s="126"/>
      <c r="AH239" s="126"/>
      <c r="AI239" s="126"/>
      <c r="AJ239" s="126"/>
      <c r="AK239" s="126"/>
      <c r="AL239" s="126"/>
      <c r="AM239" s="126"/>
      <c r="AN239" s="126"/>
      <c r="AO239" s="126"/>
      <c r="AP239" s="126"/>
      <c r="AQ239" s="126"/>
      <c r="AR239" s="126"/>
      <c r="AS239" s="126"/>
      <c r="AT239" s="126"/>
      <c r="AU239" s="126"/>
      <c r="AV239" s="126"/>
      <c r="AW239" s="126"/>
      <c r="AX239" s="126"/>
      <c r="AY239" s="126"/>
      <c r="AZ239" s="126"/>
      <c r="BA239" s="126"/>
      <c r="BB239" s="126"/>
      <c r="BC239" s="126"/>
      <c r="BD239" s="130">
        <v>1</v>
      </c>
      <c r="BE239" s="133"/>
      <c r="BF239" s="133"/>
    </row>
    <row r="240" spans="1:58" ht="21" customHeight="1" thickBot="1" x14ac:dyDescent="0.3">
      <c r="A240" s="126">
        <v>1</v>
      </c>
      <c r="B240" s="816"/>
      <c r="C240" s="812" t="s">
        <v>1710</v>
      </c>
      <c r="D240" s="812"/>
      <c r="E240" s="812"/>
      <c r="F240" s="812"/>
      <c r="G240" s="812"/>
      <c r="H240" s="813"/>
      <c r="I240" s="126"/>
      <c r="J240" s="126"/>
      <c r="K240" s="126"/>
      <c r="L240" s="126"/>
      <c r="M240" s="787"/>
      <c r="N240" s="205">
        <f ca="1">CELL("largeur",N240)</f>
        <v>14</v>
      </c>
      <c r="O240" s="205">
        <f t="shared" ref="O240:T240" ca="1" si="14">CELL("largeur",O240)</f>
        <v>14</v>
      </c>
      <c r="P240" s="205">
        <f t="shared" ca="1" si="14"/>
        <v>14</v>
      </c>
      <c r="Q240" s="205">
        <f t="shared" ca="1" si="14"/>
        <v>10</v>
      </c>
      <c r="R240" s="205">
        <f t="shared" ca="1" si="14"/>
        <v>10</v>
      </c>
      <c r="S240" s="205">
        <f ca="1">CELL("largeur",S240)</f>
        <v>10</v>
      </c>
      <c r="T240" s="206">
        <f t="shared" ca="1" si="14"/>
        <v>10</v>
      </c>
      <c r="U240" s="126"/>
      <c r="V240" s="126"/>
      <c r="W240" s="126"/>
      <c r="X240" s="126"/>
      <c r="Y240" s="126"/>
      <c r="Z240" s="126"/>
      <c r="AA240" s="126"/>
      <c r="AB240" s="126"/>
      <c r="AC240" s="126"/>
      <c r="AD240" s="126"/>
      <c r="AE240" s="126"/>
      <c r="AF240" s="126"/>
      <c r="AG240" s="126"/>
      <c r="AH240" s="126"/>
      <c r="AI240" s="126"/>
      <c r="AJ240" s="126"/>
      <c r="AK240" s="126"/>
      <c r="AL240" s="126"/>
      <c r="AM240" s="126"/>
      <c r="AN240" s="126"/>
      <c r="AO240" s="126"/>
      <c r="AP240" s="126"/>
      <c r="AQ240" s="126"/>
      <c r="AR240" s="126"/>
      <c r="AS240" s="126"/>
      <c r="AT240" s="126"/>
      <c r="AU240" s="126"/>
      <c r="AV240" s="126"/>
      <c r="AW240" s="126"/>
      <c r="AX240" s="126"/>
      <c r="AY240" s="126"/>
      <c r="AZ240" s="126"/>
      <c r="BA240" s="126"/>
      <c r="BB240" s="126"/>
      <c r="BC240" s="126"/>
      <c r="BD240" s="130">
        <v>1</v>
      </c>
      <c r="BE240" s="133"/>
      <c r="BF240" s="133"/>
    </row>
    <row r="241" spans="1:58" ht="21" customHeight="1" x14ac:dyDescent="0.25">
      <c r="A241" s="126">
        <v>1</v>
      </c>
      <c r="B241" s="816"/>
      <c r="C241" s="198">
        <v>8</v>
      </c>
      <c r="D241" s="198">
        <v>9</v>
      </c>
      <c r="E241" s="198">
        <v>11</v>
      </c>
      <c r="F241" s="198">
        <v>11</v>
      </c>
      <c r="G241" s="198">
        <v>11</v>
      </c>
      <c r="H241" s="547">
        <v>11</v>
      </c>
      <c r="I241" s="126"/>
      <c r="J241" s="126"/>
      <c r="K241" s="126"/>
      <c r="L241" s="126"/>
      <c r="M241" s="126"/>
      <c r="N241" s="126"/>
      <c r="O241" s="126"/>
      <c r="P241" s="126"/>
      <c r="Q241" s="126"/>
      <c r="R241" s="126"/>
      <c r="S241" s="126"/>
      <c r="T241" s="126"/>
      <c r="U241" s="126"/>
      <c r="V241" s="126"/>
      <c r="W241" s="126"/>
      <c r="X241" s="126"/>
      <c r="Y241" s="126"/>
      <c r="Z241" s="126"/>
      <c r="AA241" s="126"/>
      <c r="AB241" s="126"/>
      <c r="AC241" s="126"/>
      <c r="AD241" s="126"/>
      <c r="AE241" s="126"/>
      <c r="AF241" s="126"/>
      <c r="AG241" s="126"/>
      <c r="AH241" s="126"/>
      <c r="AI241" s="126"/>
      <c r="AJ241" s="126"/>
      <c r="AK241" s="126"/>
      <c r="AL241" s="126"/>
      <c r="AM241" s="126"/>
      <c r="AN241" s="126"/>
      <c r="AO241" s="126"/>
      <c r="AP241" s="126"/>
      <c r="AQ241" s="126"/>
      <c r="AR241" s="126"/>
      <c r="AS241" s="126"/>
      <c r="AT241" s="126"/>
      <c r="AU241" s="126"/>
      <c r="AV241" s="126"/>
      <c r="AW241" s="126"/>
      <c r="AX241" s="126"/>
      <c r="AY241" s="126"/>
      <c r="AZ241" s="126"/>
      <c r="BA241" s="126"/>
      <c r="BB241" s="126"/>
      <c r="BC241" s="126"/>
      <c r="BD241" s="130">
        <v>1</v>
      </c>
      <c r="BE241" s="133"/>
      <c r="BF241" s="133"/>
    </row>
    <row r="242" spans="1:58" ht="21" customHeight="1" thickBot="1" x14ac:dyDescent="0.3">
      <c r="A242" s="126">
        <v>1</v>
      </c>
      <c r="B242" s="817"/>
      <c r="C242" s="205">
        <f t="shared" ref="C242:H242" ca="1" si="15">CELL("largeur",C242)</f>
        <v>11</v>
      </c>
      <c r="D242" s="205">
        <f t="shared" ca="1" si="15"/>
        <v>18</v>
      </c>
      <c r="E242" s="205">
        <f t="shared" ca="1" si="15"/>
        <v>11</v>
      </c>
      <c r="F242" s="205">
        <f t="shared" ca="1" si="15"/>
        <v>11</v>
      </c>
      <c r="G242" s="205">
        <f t="shared" ca="1" si="15"/>
        <v>11</v>
      </c>
      <c r="H242" s="548">
        <f t="shared" ca="1" si="15"/>
        <v>11</v>
      </c>
      <c r="I242" s="126"/>
      <c r="J242" s="126"/>
      <c r="K242" s="126"/>
      <c r="L242" s="126"/>
      <c r="M242" s="126"/>
      <c r="N242" s="126"/>
      <c r="O242" s="126"/>
      <c r="P242" s="126"/>
      <c r="Q242" s="126"/>
      <c r="R242" s="126"/>
      <c r="S242" s="126"/>
      <c r="T242" s="126"/>
      <c r="U242" s="126"/>
      <c r="BC242" s="126"/>
      <c r="BD242" s="130">
        <v>1</v>
      </c>
      <c r="BE242" s="133"/>
      <c r="BF242" s="133"/>
    </row>
    <row r="243" spans="1:58" ht="21" customHeight="1" x14ac:dyDescent="0.25">
      <c r="A243" s="126">
        <v>1</v>
      </c>
      <c r="B243" s="126">
        <v>1</v>
      </c>
      <c r="C243" s="126">
        <v>1</v>
      </c>
      <c r="D243" s="126">
        <v>1</v>
      </c>
      <c r="E243" s="126">
        <v>1</v>
      </c>
      <c r="F243" s="126">
        <v>1</v>
      </c>
      <c r="G243" s="126">
        <v>1</v>
      </c>
      <c r="H243" s="126">
        <v>1</v>
      </c>
      <c r="I243" s="126"/>
      <c r="J243" s="126"/>
      <c r="K243" s="126"/>
      <c r="L243" s="126"/>
      <c r="M243" s="126"/>
      <c r="N243" s="126"/>
      <c r="O243" s="126"/>
      <c r="P243" s="126"/>
      <c r="Q243" s="126"/>
      <c r="R243" s="126"/>
      <c r="S243" s="126"/>
      <c r="T243" s="126"/>
      <c r="U243" s="126"/>
      <c r="BC243" s="126"/>
      <c r="BD243" s="549" t="s">
        <v>1711</v>
      </c>
      <c r="BE243" s="133"/>
      <c r="BF243" s="133"/>
    </row>
    <row r="244" spans="1:58" x14ac:dyDescent="0.25">
      <c r="A244" s="130">
        <v>1</v>
      </c>
      <c r="B244" s="130">
        <v>1</v>
      </c>
      <c r="C244" s="130">
        <v>1</v>
      </c>
      <c r="D244" s="130">
        <v>1</v>
      </c>
      <c r="E244" s="130">
        <v>1</v>
      </c>
      <c r="F244" s="130">
        <v>1</v>
      </c>
      <c r="G244" s="130">
        <v>1</v>
      </c>
      <c r="H244" s="130">
        <v>1</v>
      </c>
      <c r="I244" s="130">
        <v>1</v>
      </c>
      <c r="J244" s="130">
        <v>1</v>
      </c>
      <c r="K244" s="130">
        <v>1</v>
      </c>
      <c r="L244" s="130">
        <v>1</v>
      </c>
      <c r="M244" s="130">
        <v>1</v>
      </c>
      <c r="N244" s="130">
        <v>1</v>
      </c>
      <c r="O244" s="130">
        <v>1</v>
      </c>
      <c r="P244" s="130">
        <v>1</v>
      </c>
      <c r="Q244" s="130">
        <v>1</v>
      </c>
      <c r="R244" s="130">
        <v>1</v>
      </c>
      <c r="S244" s="130">
        <v>1</v>
      </c>
      <c r="T244" s="130">
        <v>1</v>
      </c>
      <c r="U244" s="130">
        <v>1</v>
      </c>
      <c r="V244" s="130">
        <v>1</v>
      </c>
      <c r="W244" s="130">
        <v>1</v>
      </c>
      <c r="X244" s="130">
        <v>1</v>
      </c>
      <c r="Y244" s="130">
        <v>1</v>
      </c>
      <c r="Z244" s="130">
        <v>1</v>
      </c>
      <c r="AA244" s="130">
        <v>1</v>
      </c>
      <c r="AB244" s="130">
        <v>1</v>
      </c>
      <c r="AC244" s="130">
        <v>1</v>
      </c>
      <c r="AD244" s="130">
        <v>1</v>
      </c>
      <c r="AE244" s="130">
        <v>1</v>
      </c>
      <c r="AF244" s="130">
        <v>1</v>
      </c>
      <c r="AG244" s="130">
        <v>1</v>
      </c>
      <c r="AH244" s="130">
        <v>1</v>
      </c>
      <c r="AI244" s="130">
        <v>1</v>
      </c>
      <c r="AJ244" s="130">
        <v>1</v>
      </c>
      <c r="AK244" s="130">
        <v>1</v>
      </c>
      <c r="AL244" s="130">
        <v>1</v>
      </c>
      <c r="AM244" s="130">
        <v>1</v>
      </c>
      <c r="AN244" s="130">
        <v>1</v>
      </c>
      <c r="AO244" s="130">
        <v>1</v>
      </c>
      <c r="AP244" s="130">
        <v>1</v>
      </c>
      <c r="AQ244" s="130">
        <v>1</v>
      </c>
      <c r="AR244" s="130">
        <v>1</v>
      </c>
      <c r="AS244" s="130">
        <v>1</v>
      </c>
      <c r="AT244" s="130">
        <v>1</v>
      </c>
      <c r="AU244" s="130">
        <v>1</v>
      </c>
      <c r="AV244" s="130">
        <v>1</v>
      </c>
      <c r="AW244" s="130">
        <v>1</v>
      </c>
      <c r="AX244" s="130">
        <v>1</v>
      </c>
      <c r="AY244" s="130">
        <v>1</v>
      </c>
      <c r="AZ244" s="130">
        <v>1</v>
      </c>
      <c r="BA244" s="130">
        <v>1</v>
      </c>
      <c r="BB244" s="130">
        <v>1</v>
      </c>
      <c r="BC244" s="130">
        <v>1</v>
      </c>
      <c r="BD244" s="550" t="str">
        <f>ADDRESS(ROW(),COLUMN(),4)</f>
        <v>BD244</v>
      </c>
      <c r="BE244" s="133"/>
      <c r="BF244" s="133"/>
    </row>
  </sheetData>
  <mergeCells count="61">
    <mergeCell ref="C235:C239"/>
    <mergeCell ref="D235:D239"/>
    <mergeCell ref="N218:T218"/>
    <mergeCell ref="B219:B230"/>
    <mergeCell ref="M219:M240"/>
    <mergeCell ref="N220:O221"/>
    <mergeCell ref="P220:T221"/>
    <mergeCell ref="N222:N223"/>
    <mergeCell ref="O222:O223"/>
    <mergeCell ref="P222:S223"/>
    <mergeCell ref="T222:T223"/>
    <mergeCell ref="C228:K228"/>
    <mergeCell ref="N236:T236"/>
    <mergeCell ref="C240:H240"/>
    <mergeCell ref="C232:H232"/>
    <mergeCell ref="B233:B242"/>
    <mergeCell ref="C234:D234"/>
    <mergeCell ref="G234:H234"/>
    <mergeCell ref="B169:B201"/>
    <mergeCell ref="C169:H169"/>
    <mergeCell ref="C189:H190"/>
    <mergeCell ref="C192:H192"/>
    <mergeCell ref="B204:B216"/>
    <mergeCell ref="C214:K214"/>
    <mergeCell ref="B167:B168"/>
    <mergeCell ref="C167:F167"/>
    <mergeCell ref="B108:B134"/>
    <mergeCell ref="C108:H108"/>
    <mergeCell ref="F111:H111"/>
    <mergeCell ref="C122:H123"/>
    <mergeCell ref="C125:H125"/>
    <mergeCell ref="B137:B138"/>
    <mergeCell ref="C137:F137"/>
    <mergeCell ref="B139:B165"/>
    <mergeCell ref="C139:H139"/>
    <mergeCell ref="F142:H142"/>
    <mergeCell ref="C153:H154"/>
    <mergeCell ref="C156:H156"/>
    <mergeCell ref="B106:B107"/>
    <mergeCell ref="C106:F106"/>
    <mergeCell ref="D66:H67"/>
    <mergeCell ref="C70:H71"/>
    <mergeCell ref="O74:S74"/>
    <mergeCell ref="C75:H76"/>
    <mergeCell ref="N75:N84"/>
    <mergeCell ref="O81:S82"/>
    <mergeCell ref="O87:U87"/>
    <mergeCell ref="O88:U88"/>
    <mergeCell ref="O102:O103"/>
    <mergeCell ref="P102:P103"/>
    <mergeCell ref="O105:O106"/>
    <mergeCell ref="V35:Y35"/>
    <mergeCell ref="AL35:AO35"/>
    <mergeCell ref="B41:B42"/>
    <mergeCell ref="C41:H41"/>
    <mergeCell ref="B43:B100"/>
    <mergeCell ref="C48:H49"/>
    <mergeCell ref="D54:H55"/>
    <mergeCell ref="D57:H58"/>
    <mergeCell ref="D60:H61"/>
    <mergeCell ref="D63:H64"/>
  </mergeCells>
  <conditionalFormatting sqref="B232">
    <cfRule type="expression" dxfId="20" priority="1" stopIfTrue="1">
      <formula>OR(ROW()=CELL("ligne"),COLUMN()=CELL("colonne"))</formula>
    </cfRule>
  </conditionalFormatting>
  <conditionalFormatting sqref="E113 E119">
    <cfRule type="cellIs" dxfId="19" priority="20" operator="equal">
      <formula>#REF!</formula>
    </cfRule>
    <cfRule type="cellIs" dxfId="18" priority="21" operator="equal">
      <formula>#REF!</formula>
    </cfRule>
  </conditionalFormatting>
  <conditionalFormatting sqref="E113">
    <cfRule type="cellIs" dxfId="17" priority="18" operator="equal">
      <formula>#REF!</formula>
    </cfRule>
    <cfRule type="cellIs" dxfId="16" priority="19" operator="equal">
      <formula>#REF!</formula>
    </cfRule>
  </conditionalFormatting>
  <conditionalFormatting sqref="E144 E150">
    <cfRule type="cellIs" dxfId="15" priority="12" operator="equal">
      <formula>#REF!</formula>
    </cfRule>
    <cfRule type="cellIs" dxfId="14" priority="13" operator="equal">
      <formula>#REF!</formula>
    </cfRule>
  </conditionalFormatting>
  <conditionalFormatting sqref="E144">
    <cfRule type="cellIs" dxfId="13" priority="10" operator="equal">
      <formula>#REF!</formula>
    </cfRule>
    <cfRule type="cellIs" dxfId="12" priority="11" operator="equal">
      <formula>#REF!</formula>
    </cfRule>
  </conditionalFormatting>
  <conditionalFormatting sqref="G113">
    <cfRule type="cellIs" dxfId="11" priority="16" operator="equal">
      <formula>#REF!</formula>
    </cfRule>
    <cfRule type="cellIs" dxfId="10" priority="17" operator="equal">
      <formula>#REF!</formula>
    </cfRule>
  </conditionalFormatting>
  <conditionalFormatting sqref="G179">
    <cfRule type="cellIs" dxfId="9" priority="2" operator="equal">
      <formula>#REF!</formula>
    </cfRule>
    <cfRule type="cellIs" dxfId="8" priority="3" operator="equal">
      <formula>#REF!</formula>
    </cfRule>
  </conditionalFormatting>
  <conditionalFormatting sqref="I103:I104">
    <cfRule type="cellIs" dxfId="7" priority="14" operator="equal">
      <formula>#REF!</formula>
    </cfRule>
    <cfRule type="cellIs" dxfId="6" priority="15" operator="equal">
      <formula>#REF!</formula>
    </cfRule>
  </conditionalFormatting>
  <conditionalFormatting sqref="J113">
    <cfRule type="cellIs" dxfId="5" priority="8" operator="equal">
      <formula>#REF!</formula>
    </cfRule>
    <cfRule type="cellIs" dxfId="4" priority="9" operator="equal">
      <formula>#REF!</formula>
    </cfRule>
  </conditionalFormatting>
  <conditionalFormatting sqref="J119">
    <cfRule type="cellIs" dxfId="3" priority="6" operator="equal">
      <formula>#REF!</formula>
    </cfRule>
    <cfRule type="cellIs" dxfId="2" priority="7" operator="equal">
      <formula>#REF!</formula>
    </cfRule>
  </conditionalFormatting>
  <conditionalFormatting sqref="J150">
    <cfRule type="cellIs" dxfId="1" priority="4" operator="equal">
      <formula>#REF!</formula>
    </cfRule>
    <cfRule type="cellIs" dxfId="0" priority="5" operator="equal">
      <formula>#REF!</formula>
    </cfRule>
  </conditionalFormatting>
  <hyperlinks>
    <hyperlink ref="D92" r:id="rId1" xr:uid="{1EFFA0DE-D777-4FBC-823C-901E6FC2ACFA}"/>
    <hyperlink ref="D94" r:id="rId2" xr:uid="{0022FD27-2CAB-44E7-AE4A-C45D4B61080B}"/>
    <hyperlink ref="F94" r:id="rId3" xr:uid="{15314DF6-2E63-444B-BC6C-FF61666C3276}"/>
    <hyperlink ref="F92" r:id="rId4" xr:uid="{69AC022D-F5FC-4E43-9431-8B09455381AB}"/>
    <hyperlink ref="D99" r:id="rId5" xr:uid="{FC8C27B8-5FBF-44E2-A204-553A1F388A3D}"/>
    <hyperlink ref="Q72" r:id="rId6" xr:uid="{45535D7A-0CE5-4671-AAE1-102BAF38A3A0}"/>
    <hyperlink ref="J31" r:id="rId7" xr:uid="{CA2CA79E-E83E-46C1-A9AA-A7A8DA2AD6BF}"/>
    <hyperlink ref="O87" r:id="rId8" xr:uid="{CBA77A9E-DB1C-464D-9A0E-DB68D95EB1D4}"/>
    <hyperlink ref="O88" r:id="rId9" xr:uid="{11FBF0F9-5299-4F00-BD37-7D06E3A55DF6}"/>
    <hyperlink ref="R60" r:id="rId10" xr:uid="{0909567E-E15F-4120-AE4F-644FA205E14F}"/>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Mode_emploi</vt:lpstr>
      <vt:lpstr>MOTEUR_C4</vt:lpstr>
      <vt:lpstr>Questions_150</vt:lpstr>
      <vt:lpstr>Grille_questions</vt:lpstr>
      <vt:lpstr>Dictionnaire_criteres</vt:lpstr>
      <vt:lpstr>ALLERGENES.1</vt:lpstr>
      <vt:lpstr>ChatGPT</vt:lpstr>
      <vt:lpstr>Transmission des savoirs.2025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2026-04-28T21:50:43Z</dcterms:created>
  <dcterms:modified xsi:type="dcterms:W3CDTF">2026-08-23T13:52:56Z</dcterms:modified>
</cp:coreProperties>
</file>